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1.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F:\usbc_car_module\hardware\excel\"/>
    </mc:Choice>
  </mc:AlternateContent>
  <xr:revisionPtr revIDLastSave="0" documentId="13_ncr:1_{00FE6D13-1387-4855-B6CE-878BF22967FE}" xr6:coauthVersionLast="47" xr6:coauthVersionMax="47" xr10:uidLastSave="{00000000-0000-0000-0000-000000000000}"/>
  <workbookProtection workbookAlgorithmName="SHA-512" workbookHashValue="9Tu4NBv68gmIzXyJYbUSzn8PsZr1TFCYodfdXFLY1IFFgROBuyYld0CXgEClOR7X+OH+rO3M4mpmiuMjhvlEHw==" workbookSaltValue="EUSOMyJ7N4N2o3mpQWAtPA==" workbookSpinCount="100000" lockStructure="1"/>
  <bookViews>
    <workbookView xWindow="-120" yWindow="-120" windowWidth="29040" windowHeight="15840" xr2:uid="{00000000-000D-0000-FFFF-FFFF00000000}"/>
  </bookViews>
  <sheets>
    <sheet name="Design Converter" sheetId="1" r:id="rId1"/>
    <sheet name="Variable_Management" sheetId="2" state="hidden" r:id="rId2"/>
    <sheet name="Eff_vs_IOUT" sheetId="4" state="hidden" r:id="rId3"/>
    <sheet name="Loop_Modeling" sheetId="5" state="hidden" r:id="rId4"/>
    <sheet name="Constants" sheetId="3" state="hidden" r:id="rId5"/>
    <sheet name="Plot_Management_Eff" sheetId="6" state="hidden" r:id="rId6"/>
    <sheet name="Plot_Management_Sch" sheetId="7" state="hidden" r:id="rId7"/>
    <sheet name="Lists" sheetId="8" state="hidden" r:id="rId8"/>
    <sheet name="Sheet1" sheetId="9" state="hidden" r:id="rId9"/>
  </sheets>
  <definedNames>
    <definedName name="Acs">Constants!$B$33</definedName>
    <definedName name="Adc">Loop_Modeling!$B$38</definedName>
    <definedName name="Adc_ea">Loop_Modeling!$B$62</definedName>
    <definedName name="ADC_VINmin">Variable_Management!$B$160</definedName>
    <definedName name="CCOMP">Variable_Management!$B$225</definedName>
    <definedName name="CCOMP_Calc">Variable_Management!$B$224</definedName>
    <definedName name="CCOMP_calc_CCM">Variable_Management!$B$189</definedName>
    <definedName name="CCOMP_CALC_DCM">Variable_Management!$B$215</definedName>
    <definedName name="CHF">Variable_Management!$B$227</definedName>
    <definedName name="CHF_calc">Variable_Management!$B$226</definedName>
    <definedName name="CHF_CALC_CCM">Variable_Management!$B$190</definedName>
    <definedName name="CHF_CALC_DCM">Variable_Management!$B$216</definedName>
    <definedName name="Comp_calc_CCM">Variable_Management!$B$189</definedName>
    <definedName name="Cout">Variable_Management!$B$110</definedName>
    <definedName name="Cout_min">Variable_Management!$B$108</definedName>
    <definedName name="D_limit_max">Constants!$B$18</definedName>
    <definedName name="D_limit_min">Constants!$B$16</definedName>
    <definedName name="D_limit_nom">Constants!$B$17</definedName>
    <definedName name="DC_DCM_max">Variable_Management!$B$39</definedName>
    <definedName name="Dc_max_IC">Variable_Management!$B$23</definedName>
    <definedName name="Dc_max_ideal">Variable_Management!$A$22</definedName>
    <definedName name="DC_rip">Variable_Management!$B$32</definedName>
    <definedName name="Dc_rip_max">Variable_Management!$B$31</definedName>
    <definedName name="Dc_VIN_max">Variable_Management!$B$71</definedName>
    <definedName name="Dc_VIN_min">Variable_Management!$B$55</definedName>
    <definedName name="Dc_VIN_nom">Variable_Management!$B$63</definedName>
    <definedName name="DC_VIN_var_DCM">Loop_Modeling!$B$70</definedName>
    <definedName name="EFF_est">Variable_Management!$B$16</definedName>
    <definedName name="Eff_vs_IOUT">Plot_Management_Eff!$C$3</definedName>
    <definedName name="fcross">Variable_Management!$B$220</definedName>
    <definedName name="fcross_est">Variable_Management!$B$219</definedName>
    <definedName name="fp_ea_est">Variable_Management!$B$182</definedName>
    <definedName name="Fsw">Variable_Management!$B$10</definedName>
    <definedName name="fz_ea_est">Variable_Management!$B$181</definedName>
    <definedName name="fz_rhp">Variable_Management!$B$169</definedName>
    <definedName name="Gcomp">Constants!$B$32</definedName>
    <definedName name="Gea_mid_calc">Variable_Management!#REF!</definedName>
    <definedName name="gfs">Variable_Management!$B$243</definedName>
    <definedName name="gm_ea">Constants!$B$37</definedName>
    <definedName name="Gplant_fc_dB">Loop_Modeling!$AD$7</definedName>
    <definedName name="IIN_33">Variable_Management!$B$35</definedName>
    <definedName name="IL_avg_VIN_max">Variable_Management!$B$73</definedName>
    <definedName name="IL_avg_VIN_min">Variable_Management!$B$57</definedName>
    <definedName name="IL_avg_VIN_nom">Variable_Management!$B$65</definedName>
    <definedName name="IL_pk">Variable_Management!$B$94</definedName>
    <definedName name="IL_pk_max">Variable_Management!$B$95</definedName>
    <definedName name="ILp_VINmax">Variable_Management!$B$75</definedName>
    <definedName name="ILp_VINmin">Variable_Management!$B$59</definedName>
    <definedName name="ILp_VINnom">Variable_Management!$B$67</definedName>
    <definedName name="ILrip">Variable_Management!$B$30</definedName>
    <definedName name="ILrip_VINmax">Variable_Management!$B$74</definedName>
    <definedName name="ILrip_VINmin">Variable_Management!$B$58</definedName>
    <definedName name="ILrip_VINnom">Variable_Management!$B$66</definedName>
    <definedName name="IOUT">Variable_Management!$B$13</definedName>
    <definedName name="IOUT_VAR">Loop_Modeling!$B$17</definedName>
    <definedName name="Ipk_margin">Variable_Management!$B$78</definedName>
    <definedName name="Ipk_selected">Variable_Management!$B$80</definedName>
    <definedName name="IQ">Constants!$B$58</definedName>
    <definedName name="IRMS_COUT">Variable_Management!$B$109</definedName>
    <definedName name="Isl">Constants!$B$26</definedName>
    <definedName name="Iss">Constants!$B$47</definedName>
    <definedName name="Kd">Loop_Modeling!$B$36</definedName>
    <definedName name="Kd_VINmin">Variable_Management!$B$156</definedName>
    <definedName name="Kex">Loop_Modeling!$B$34</definedName>
    <definedName name="Kex_VINmin">Variable_Management!$B$154</definedName>
    <definedName name="Kfb">Variable_Management!$B$139</definedName>
    <definedName name="Kfb_high">Constants!$B$39</definedName>
    <definedName name="Kfb_low">Constants!$B$38</definedName>
    <definedName name="Km">Loop_Modeling!$B$35</definedName>
    <definedName name="Km_VINmin">Variable_Management!$B$155</definedName>
    <definedName name="Kslope">Variable_Management!#REF!</definedName>
    <definedName name="Lm">Variable_Management!$B$47</definedName>
    <definedName name="Lopt">Variable_Management!#REF!</definedName>
    <definedName name="Lopt_2">Variable_Management!$B$36</definedName>
    <definedName name="M_L_DCM">Variable_Management!$B$41</definedName>
    <definedName name="Np">Variable_Management!$B$17</definedName>
    <definedName name="POUT">Variable_Management!$B$15</definedName>
    <definedName name="_xlnm.Print_Area" localSheetId="0">'Design Converter'!$A$1:$Z$97</definedName>
    <definedName name="Q">Loop_Modeling!$B$52</definedName>
    <definedName name="Q_VINmin">Variable_Management!$B$177</definedName>
    <definedName name="Qg_tot">Variable_Management!$B$238</definedName>
    <definedName name="Qg_tot_HS">Variable_Management!$B$255</definedName>
    <definedName name="Qgd">Variable_Management!$B$239</definedName>
    <definedName name="Qgs">Variable_Management!$B$240</definedName>
    <definedName name="Qrr">Variable_Management!$B$263</definedName>
    <definedName name="R_cs">Variable_Management!$B$90</definedName>
    <definedName name="R_sl">Variable_Management!$B$91</definedName>
    <definedName name="RCOMP">Variable_Management!$B$223</definedName>
    <definedName name="RCOMP_Calc">Variable_Management!$B$222</definedName>
    <definedName name="Rcomp_calc_CCM">Variable_Management!$B$188</definedName>
    <definedName name="RCOMP_CALC_DCM">Variable_Management!$B$214</definedName>
    <definedName name="Rcs_max">Variable_Management!$B$83</definedName>
    <definedName name="Rcs_w_sl">Variable_Management!#REF!</definedName>
    <definedName name="Rcs_wo_sl">Variable_Management!$B$84</definedName>
    <definedName name="Rdcr">Variable_Management!$B$48</definedName>
    <definedName name="RDS_on">Variable_Management!$B$237</definedName>
    <definedName name="RDS_on_HS">Variable_Management!$B$254</definedName>
    <definedName name="Resr">Variable_Management!$B$111</definedName>
    <definedName name="RFBB">Variable_Management!$B$147</definedName>
    <definedName name="RFBB_calc">Variable_Management!$B$146</definedName>
    <definedName name="RFBT">Variable_Management!$B$145</definedName>
    <definedName name="Rgate">Variable_Management!$B$241</definedName>
    <definedName name="Rmax">Variable_Management!$B$140</definedName>
    <definedName name="Rmax_high">Constants!$B$41</definedName>
    <definedName name="Rmax_low">Constants!$B$40</definedName>
    <definedName name="Rmin">Variable_Management!$B$141</definedName>
    <definedName name="Rmin_high">Constants!$B$43</definedName>
    <definedName name="Rmin_low">Constants!$B$42</definedName>
    <definedName name="ROUT">Variable_Management!$B$14</definedName>
    <definedName name="Rsl_int">Constants!$B$27</definedName>
    <definedName name="RT">Variable_Management!$B$11</definedName>
    <definedName name="Ruvlo_bottom_calc">Variable_Management!$B$129</definedName>
    <definedName name="Ruvlo_top">Variable_Management!$B$128</definedName>
    <definedName name="Ruvlo_top_calc">Variable_Management!$B$127</definedName>
    <definedName name="SCH">INDIRECT(Plot_Management_Sch!$A$1)</definedName>
    <definedName name="SCH_1">Plot_Management_Sch!$B$2</definedName>
    <definedName name="SCH_2">Plot_Management_Sch!$B$5</definedName>
    <definedName name="SCH_3">Plot_Management_Sch!$B$7</definedName>
    <definedName name="Se_VINmin">Variable_Management!$B$173</definedName>
    <definedName name="Sn_VINmin">Variable_Management!$B$174</definedName>
    <definedName name="t_dead">Constants!$B$24</definedName>
    <definedName name="tf_sw">Variable_Management!$B$250</definedName>
    <definedName name="tr_sw">Variable_Management!$B$249</definedName>
    <definedName name="tss">Variable_Management!$B$118</definedName>
    <definedName name="UV_fall">Constants!$B$51</definedName>
    <definedName name="UV_I_hyst">Constants!$B$52</definedName>
    <definedName name="UV_rise">Constants!$B$50</definedName>
    <definedName name="Vcc">Constants!$B$55</definedName>
    <definedName name="Vcl">Constants!$B$30</definedName>
    <definedName name="Vd_rect">Variable_Management!$B$264</definedName>
    <definedName name="VIN_33">Variable_Management!$B$33</definedName>
    <definedName name="VIN_max">Variable_Management!$B$9</definedName>
    <definedName name="VIN_min">Variable_Management!$B$7</definedName>
    <definedName name="VIN_nom">Variable_Management!$B$8</definedName>
    <definedName name="VIN_op_max">Constants!$B$62</definedName>
    <definedName name="VIN_op_min">Constants!$B$61</definedName>
    <definedName name="VIN_var">Variable_Management!$B$8</definedName>
    <definedName name="VOUT">Variable_Management!$B$12</definedName>
    <definedName name="VOUT_range">Variable_Management!$B$19</definedName>
    <definedName name="Vout_rip_sel">Variable_Management!$B$106</definedName>
    <definedName name="Vref">Constants!$B$36</definedName>
    <definedName name="Vsl">Constants!$B$28</definedName>
    <definedName name="Vth">Variable_Management!$B$244</definedName>
    <definedName name="VTRK">Variable_Management!$B$142</definedName>
    <definedName name="Vuvlo_off">Variable_Management!$B$123</definedName>
    <definedName name="Vuvlo_on">Variable_Management!$B$122</definedName>
    <definedName name="wp_lf">Loop_Modeling!$B$39</definedName>
    <definedName name="wp_lf_DCM">Loop_Modeling!$B$73</definedName>
    <definedName name="wp_lf_VINmin">Variable_Management!$B$162</definedName>
    <definedName name="wp0_ea">Loop_Modeling!$B$64</definedName>
    <definedName name="wp1_ea">Loop_Modeling!$B$65</definedName>
    <definedName name="wsl">Loop_Modeling!$B$51</definedName>
    <definedName name="wsl_VINmin">Variable_Management!$B$176</definedName>
    <definedName name="wz_ea">Loop_Modeling!$B$63</definedName>
    <definedName name="wz_esr">Loop_Modeling!$B$45</definedName>
    <definedName name="wz_esr_VINmin">Variable_Management!$B$165</definedName>
    <definedName name="wz_rhp">Loop_Modeling!$B$42</definedName>
    <definedName name="wz_RHP_VINmin">Variable_Management!$B$168</definedName>
    <definedName name="wz1_dcm">Loop_Modeling!$B$75</definedName>
    <definedName name="wz2_dcm">Loop_Modeling!$B$77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7" l="1"/>
  <c r="B78" i="2" l="1"/>
  <c r="B24" i="3" l="1"/>
  <c r="B264" i="2"/>
  <c r="B263" i="2"/>
  <c r="B20" i="2"/>
  <c r="B8" i="2"/>
  <c r="B12" i="2"/>
  <c r="R15" i="4" s="1"/>
  <c r="B7" i="2"/>
  <c r="B3" i="8" s="1"/>
  <c r="B10" i="2"/>
  <c r="B19" i="3" s="1"/>
  <c r="B20" i="3" s="1"/>
  <c r="B23" i="2" s="1"/>
  <c r="H16" i="1" s="1"/>
  <c r="B12" i="3"/>
  <c r="B254" i="2"/>
  <c r="T9" i="4"/>
  <c r="R10" i="4"/>
  <c r="R50" i="4"/>
  <c r="R51" i="4"/>
  <c r="R55" i="4"/>
  <c r="T56" i="4"/>
  <c r="T59" i="4"/>
  <c r="R64" i="4"/>
  <c r="T70" i="4"/>
  <c r="AT70" i="4" s="1"/>
  <c r="R74" i="4"/>
  <c r="R75" i="4"/>
  <c r="R76" i="4"/>
  <c r="R78" i="4"/>
  <c r="R79" i="4"/>
  <c r="R80" i="4"/>
  <c r="R82" i="4"/>
  <c r="R86" i="4"/>
  <c r="R87" i="4"/>
  <c r="R88" i="4"/>
  <c r="R89" i="4"/>
  <c r="R90" i="4"/>
  <c r="R91" i="4"/>
  <c r="R92" i="4"/>
  <c r="R93" i="4"/>
  <c r="R94" i="4"/>
  <c r="R97" i="4"/>
  <c r="R98" i="4"/>
  <c r="R99" i="4"/>
  <c r="R100" i="4"/>
  <c r="R101" i="4"/>
  <c r="R102" i="4"/>
  <c r="R103" i="4"/>
  <c r="R104" i="4"/>
  <c r="R105" i="4"/>
  <c r="R106"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7" i="4"/>
  <c r="B244" i="2"/>
  <c r="B256" i="2"/>
  <c r="B257" i="2"/>
  <c r="B258" i="2"/>
  <c r="B261" i="2"/>
  <c r="B255" i="2"/>
  <c r="B262" i="2"/>
  <c r="E143" i="2"/>
  <c r="B128" i="2"/>
  <c r="B123" i="2"/>
  <c r="B122" i="2"/>
  <c r="B52" i="3"/>
  <c r="B126" i="2" s="1"/>
  <c r="B39" i="2"/>
  <c r="F5" i="8"/>
  <c r="F4" i="8"/>
  <c r="F3" i="8"/>
  <c r="B37" i="3"/>
  <c r="B29" i="5"/>
  <c r="B58" i="3"/>
  <c r="B47" i="3"/>
  <c r="B2" i="6"/>
  <c r="B245" i="2"/>
  <c r="B241" i="2"/>
  <c r="B240" i="2"/>
  <c r="B239" i="2"/>
  <c r="B238" i="2"/>
  <c r="B237" i="2"/>
  <c r="B125" i="2"/>
  <c r="B124" i="2"/>
  <c r="G127" i="2" s="1"/>
  <c r="B118" i="2"/>
  <c r="B116" i="2"/>
  <c r="B220" i="2"/>
  <c r="B180" i="2" s="1"/>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B205" i="2"/>
  <c r="O7" i="5"/>
  <c r="B30" i="5"/>
  <c r="B145" i="2"/>
  <c r="B56" i="5" s="1"/>
  <c r="B147" i="2"/>
  <c r="B57" i="5" s="1"/>
  <c r="B225" i="2"/>
  <c r="B227" i="2"/>
  <c r="B60" i="5" s="1"/>
  <c r="B223" i="2"/>
  <c r="B27" i="5"/>
  <c r="B111" i="2"/>
  <c r="B110" i="2"/>
  <c r="B96" i="2"/>
  <c r="B90" i="2"/>
  <c r="B25" i="5" s="1"/>
  <c r="B26" i="3"/>
  <c r="B28" i="5" s="1"/>
  <c r="B26" i="5"/>
  <c r="B48" i="2"/>
  <c r="B22" i="3"/>
  <c r="B30" i="2"/>
  <c r="B14" i="3"/>
  <c r="B10" i="3"/>
  <c r="B9" i="2"/>
  <c r="B12" i="5" s="1"/>
  <c r="B19" i="2"/>
  <c r="J49" i="5"/>
  <c r="B106" i="2"/>
  <c r="B11" i="5"/>
  <c r="B4" i="8"/>
  <c r="B19" i="5"/>
  <c r="AT59" i="4"/>
  <c r="AT56" i="4"/>
  <c r="B16" i="5"/>
  <c r="P15" i="5" s="1"/>
  <c r="O9" i="4"/>
  <c r="R58" i="4" l="1"/>
  <c r="R54" i="4"/>
  <c r="R47" i="4"/>
  <c r="T8" i="4"/>
  <c r="H54" i="1"/>
  <c r="B135" i="2" s="1"/>
  <c r="B45" i="5"/>
  <c r="R46" i="4"/>
  <c r="R85" i="4"/>
  <c r="R63" i="4"/>
  <c r="R43" i="4"/>
  <c r="R96" i="4"/>
  <c r="R84" i="4"/>
  <c r="R62" i="4"/>
  <c r="R42" i="4"/>
  <c r="R107" i="4"/>
  <c r="R95" i="4"/>
  <c r="R83" i="4"/>
  <c r="R59" i="4"/>
  <c r="R37" i="4"/>
  <c r="T62" i="4"/>
  <c r="B48" i="5"/>
  <c r="B207" i="2"/>
  <c r="B210" i="2" s="1"/>
  <c r="R29" i="4"/>
  <c r="B11" i="2"/>
  <c r="H14" i="1" s="1"/>
  <c r="R21" i="4"/>
  <c r="B170" i="2"/>
  <c r="M8" i="4"/>
  <c r="T12" i="4"/>
  <c r="AT12" i="4" s="1"/>
  <c r="T417" i="5"/>
  <c r="V417" i="5" s="1"/>
  <c r="B129" i="2"/>
  <c r="O8" i="5"/>
  <c r="AT9" i="4"/>
  <c r="B127" i="2"/>
  <c r="H48" i="1" s="1"/>
  <c r="B13" i="5"/>
  <c r="B51" i="5"/>
  <c r="B176" i="2"/>
  <c r="B173" i="2"/>
  <c r="AT62" i="4"/>
  <c r="AT8" i="4"/>
  <c r="T139" i="4"/>
  <c r="AT139" i="4" s="1"/>
  <c r="T122" i="4"/>
  <c r="AT122" i="4" s="1"/>
  <c r="T138" i="4"/>
  <c r="AT138" i="4" s="1"/>
  <c r="T123" i="4"/>
  <c r="AT123" i="4" s="1"/>
  <c r="T154" i="4"/>
  <c r="AT154" i="4" s="1"/>
  <c r="T151" i="4"/>
  <c r="AT151" i="4" s="1"/>
  <c r="T146" i="4"/>
  <c r="AT146" i="4" s="1"/>
  <c r="T143" i="4"/>
  <c r="AT143" i="4" s="1"/>
  <c r="T134" i="4"/>
  <c r="AT134" i="4" s="1"/>
  <c r="T127" i="4"/>
  <c r="AT127" i="4" s="1"/>
  <c r="T118" i="4"/>
  <c r="AT118" i="4" s="1"/>
  <c r="T100" i="4"/>
  <c r="AT100" i="4" s="1"/>
  <c r="T93" i="4"/>
  <c r="AT93" i="4" s="1"/>
  <c r="T46" i="4"/>
  <c r="AT46" i="4" s="1"/>
  <c r="T40" i="4"/>
  <c r="AT40" i="4" s="1"/>
  <c r="T22" i="4"/>
  <c r="AT22" i="4" s="1"/>
  <c r="T155" i="4"/>
  <c r="AT155" i="4" s="1"/>
  <c r="T150" i="4"/>
  <c r="AT150" i="4" s="1"/>
  <c r="T147" i="4"/>
  <c r="AT147" i="4" s="1"/>
  <c r="T109" i="4"/>
  <c r="AT109" i="4" s="1"/>
  <c r="T84" i="4"/>
  <c r="AT84" i="4" s="1"/>
  <c r="T80" i="4"/>
  <c r="AT80" i="4" s="1"/>
  <c r="T76" i="4"/>
  <c r="AT76" i="4" s="1"/>
  <c r="T43" i="4"/>
  <c r="AT43" i="4" s="1"/>
  <c r="T37" i="4"/>
  <c r="AT37" i="4" s="1"/>
  <c r="T19" i="4"/>
  <c r="AT19" i="4" s="1"/>
  <c r="T7" i="4"/>
  <c r="AT7" i="4" s="1"/>
  <c r="T132" i="4"/>
  <c r="AT132" i="4" s="1"/>
  <c r="T129" i="4"/>
  <c r="AT129" i="4" s="1"/>
  <c r="T116" i="4"/>
  <c r="AT116" i="4" s="1"/>
  <c r="T113" i="4"/>
  <c r="AT113" i="4" s="1"/>
  <c r="T107" i="4"/>
  <c r="AT107" i="4" s="1"/>
  <c r="T91" i="4"/>
  <c r="AT91" i="4" s="1"/>
  <c r="T74" i="4"/>
  <c r="AT74" i="4" s="1"/>
  <c r="T64" i="4"/>
  <c r="AT64" i="4" s="1"/>
  <c r="T51" i="4"/>
  <c r="AT51" i="4" s="1"/>
  <c r="T33" i="4"/>
  <c r="AT33" i="4" s="1"/>
  <c r="T141" i="4"/>
  <c r="AT141" i="4" s="1"/>
  <c r="T136" i="4"/>
  <c r="AT136" i="4" s="1"/>
  <c r="T125" i="4"/>
  <c r="AT125" i="4" s="1"/>
  <c r="T120" i="4"/>
  <c r="AT120" i="4" s="1"/>
  <c r="T102" i="4"/>
  <c r="AT102" i="4" s="1"/>
  <c r="T86" i="4"/>
  <c r="AT86" i="4" s="1"/>
  <c r="T67" i="4"/>
  <c r="AT67" i="4" s="1"/>
  <c r="T54" i="4"/>
  <c r="AT54" i="4" s="1"/>
  <c r="T48" i="4"/>
  <c r="AT48" i="4" s="1"/>
  <c r="T26" i="4"/>
  <c r="AT26" i="4" s="1"/>
  <c r="T15" i="4"/>
  <c r="AT15" i="4" s="1"/>
  <c r="B64" i="5"/>
  <c r="AT56" i="5" s="1"/>
  <c r="AT61" i="5"/>
  <c r="AV61" i="5" s="1"/>
  <c r="B139" i="2"/>
  <c r="H56" i="1"/>
  <c r="B138" i="2"/>
  <c r="B141" i="2"/>
  <c r="B140" i="2"/>
  <c r="B10" i="5"/>
  <c r="AT62" i="5"/>
  <c r="AT52" i="5"/>
  <c r="AT115" i="5"/>
  <c r="AT156" i="5"/>
  <c r="AT84" i="5"/>
  <c r="AT183" i="5"/>
  <c r="AT295" i="5"/>
  <c r="AT246" i="5"/>
  <c r="AT311" i="5"/>
  <c r="AT271" i="5"/>
  <c r="AT39" i="5"/>
  <c r="AT54" i="5"/>
  <c r="AT66" i="5"/>
  <c r="AT165" i="5"/>
  <c r="AT175" i="5"/>
  <c r="AT218" i="5"/>
  <c r="AT229" i="5"/>
  <c r="AT233" i="5"/>
  <c r="AT273" i="5"/>
  <c r="AT324" i="5"/>
  <c r="B165" i="2"/>
  <c r="T7" i="5" s="1"/>
  <c r="B119" i="2"/>
  <c r="H43" i="1" s="1"/>
  <c r="AT30" i="5"/>
  <c r="AT29" i="5"/>
  <c r="B63" i="5"/>
  <c r="AZ20" i="5" s="1"/>
  <c r="B58" i="5"/>
  <c r="B65" i="5"/>
  <c r="AW7" i="5" s="1"/>
  <c r="T156" i="4"/>
  <c r="AT156" i="4" s="1"/>
  <c r="T152" i="4"/>
  <c r="AT152" i="4" s="1"/>
  <c r="T148" i="4"/>
  <c r="AT148" i="4" s="1"/>
  <c r="T144" i="4"/>
  <c r="AT144" i="4" s="1"/>
  <c r="T137" i="4"/>
  <c r="AT137" i="4" s="1"/>
  <c r="T135" i="4"/>
  <c r="AT135" i="4" s="1"/>
  <c r="T130" i="4"/>
  <c r="AT130" i="4" s="1"/>
  <c r="T128" i="4"/>
  <c r="AT128" i="4" s="1"/>
  <c r="T121" i="4"/>
  <c r="AT121" i="4" s="1"/>
  <c r="T119" i="4"/>
  <c r="AT119" i="4" s="1"/>
  <c r="T114" i="4"/>
  <c r="AT114" i="4" s="1"/>
  <c r="T112" i="4"/>
  <c r="AT112" i="4" s="1"/>
  <c r="T105" i="4"/>
  <c r="AT105" i="4" s="1"/>
  <c r="T103" i="4"/>
  <c r="AT103" i="4" s="1"/>
  <c r="T98" i="4"/>
  <c r="AT98" i="4" s="1"/>
  <c r="T96" i="4"/>
  <c r="AT96" i="4" s="1"/>
  <c r="T89" i="4"/>
  <c r="AT89" i="4" s="1"/>
  <c r="T87" i="4"/>
  <c r="AT87" i="4" s="1"/>
  <c r="T82" i="4"/>
  <c r="AT82" i="4" s="1"/>
  <c r="T78" i="4"/>
  <c r="AT78" i="4" s="1"/>
  <c r="T73" i="4"/>
  <c r="AT73" i="4" s="1"/>
  <c r="T66" i="4"/>
  <c r="AT66" i="4" s="1"/>
  <c r="T61" i="4"/>
  <c r="AT61" i="4" s="1"/>
  <c r="T53" i="4"/>
  <c r="AT53" i="4" s="1"/>
  <c r="T45" i="4"/>
  <c r="AT45" i="4" s="1"/>
  <c r="T39" i="4"/>
  <c r="AT39" i="4" s="1"/>
  <c r="T36" i="4"/>
  <c r="AT36" i="4" s="1"/>
  <c r="T32" i="4"/>
  <c r="AT32" i="4" s="1"/>
  <c r="T29" i="4"/>
  <c r="AT29" i="4" s="1"/>
  <c r="T25" i="4"/>
  <c r="AT25" i="4" s="1"/>
  <c r="T18" i="4"/>
  <c r="AT18" i="4" s="1"/>
  <c r="T14" i="4"/>
  <c r="AT14" i="4" s="1"/>
  <c r="T11" i="4"/>
  <c r="AT11" i="4" s="1"/>
  <c r="T157" i="4"/>
  <c r="AT157" i="4" s="1"/>
  <c r="T153" i="4"/>
  <c r="AT153" i="4" s="1"/>
  <c r="T149" i="4"/>
  <c r="AT149" i="4" s="1"/>
  <c r="T145" i="4"/>
  <c r="AT145" i="4" s="1"/>
  <c r="T142" i="4"/>
  <c r="AT142" i="4" s="1"/>
  <c r="T140" i="4"/>
  <c r="AT140" i="4" s="1"/>
  <c r="T133" i="4"/>
  <c r="AT133" i="4" s="1"/>
  <c r="T131" i="4"/>
  <c r="AT131" i="4" s="1"/>
  <c r="T126" i="4"/>
  <c r="AT126" i="4" s="1"/>
  <c r="T124" i="4"/>
  <c r="AT124" i="4" s="1"/>
  <c r="T117" i="4"/>
  <c r="AT117" i="4" s="1"/>
  <c r="T115" i="4"/>
  <c r="AT115" i="4" s="1"/>
  <c r="T110" i="4"/>
  <c r="AT110" i="4" s="1"/>
  <c r="T108" i="4"/>
  <c r="AT108" i="4" s="1"/>
  <c r="T101" i="4"/>
  <c r="AT101" i="4" s="1"/>
  <c r="T99" i="4"/>
  <c r="AT99" i="4" s="1"/>
  <c r="T94" i="4"/>
  <c r="AT94" i="4" s="1"/>
  <c r="T92" i="4"/>
  <c r="AT92" i="4" s="1"/>
  <c r="T85" i="4"/>
  <c r="AT85" i="4" s="1"/>
  <c r="T83" i="4"/>
  <c r="AT83" i="4" s="1"/>
  <c r="T81" i="4"/>
  <c r="AT81" i="4" s="1"/>
  <c r="T77" i="4"/>
  <c r="AT77" i="4" s="1"/>
  <c r="T75" i="4"/>
  <c r="AT75" i="4" s="1"/>
  <c r="T72" i="4"/>
  <c r="AT72" i="4" s="1"/>
  <c r="T69" i="4"/>
  <c r="AT69" i="4" s="1"/>
  <c r="T65" i="4"/>
  <c r="AT65" i="4" s="1"/>
  <c r="T63" i="4"/>
  <c r="AT63" i="4" s="1"/>
  <c r="T60" i="4"/>
  <c r="AT60" i="4" s="1"/>
  <c r="T58" i="4"/>
  <c r="AT58" i="4" s="1"/>
  <c r="T55" i="4"/>
  <c r="AT55" i="4" s="1"/>
  <c r="T52" i="4"/>
  <c r="AT52" i="4" s="1"/>
  <c r="T50" i="4"/>
  <c r="AT50" i="4" s="1"/>
  <c r="T47" i="4"/>
  <c r="AT47" i="4" s="1"/>
  <c r="T44" i="4"/>
  <c r="AT44" i="4" s="1"/>
  <c r="T42" i="4"/>
  <c r="AT42" i="4" s="1"/>
  <c r="T38" i="4"/>
  <c r="AT38" i="4" s="1"/>
  <c r="T35" i="4"/>
  <c r="AT35" i="4" s="1"/>
  <c r="T31" i="4"/>
  <c r="AT31" i="4" s="1"/>
  <c r="T28" i="4"/>
  <c r="AT28" i="4" s="1"/>
  <c r="T24" i="4"/>
  <c r="AT24" i="4" s="1"/>
  <c r="T21" i="4"/>
  <c r="AT21" i="4" s="1"/>
  <c r="T17" i="4"/>
  <c r="AT17" i="4" s="1"/>
  <c r="T111" i="4"/>
  <c r="AT111" i="4" s="1"/>
  <c r="T106" i="4"/>
  <c r="AT106" i="4" s="1"/>
  <c r="T104" i="4"/>
  <c r="AT104" i="4" s="1"/>
  <c r="T97" i="4"/>
  <c r="AT97" i="4" s="1"/>
  <c r="T95" i="4"/>
  <c r="AT95" i="4" s="1"/>
  <c r="T90" i="4"/>
  <c r="AT90" i="4" s="1"/>
  <c r="T88" i="4"/>
  <c r="AT88" i="4" s="1"/>
  <c r="T79" i="4"/>
  <c r="AT79" i="4" s="1"/>
  <c r="T71" i="4"/>
  <c r="AT71" i="4" s="1"/>
  <c r="T68" i="4"/>
  <c r="AT68" i="4" s="1"/>
  <c r="T57" i="4"/>
  <c r="AT57" i="4" s="1"/>
  <c r="T49" i="4"/>
  <c r="AT49" i="4" s="1"/>
  <c r="T41" i="4"/>
  <c r="AT41" i="4" s="1"/>
  <c r="T34" i="4"/>
  <c r="AT34" i="4" s="1"/>
  <c r="T30" i="4"/>
  <c r="AT30" i="4" s="1"/>
  <c r="T27" i="4"/>
  <c r="AT27" i="4" s="1"/>
  <c r="T23" i="4"/>
  <c r="AT23" i="4" s="1"/>
  <c r="T20" i="4"/>
  <c r="AT20" i="4" s="1"/>
  <c r="T16" i="4"/>
  <c r="AT16" i="4" s="1"/>
  <c r="T13" i="4"/>
  <c r="AT13" i="4" s="1"/>
  <c r="T10" i="4"/>
  <c r="AT10" i="4" s="1"/>
  <c r="R72" i="4"/>
  <c r="R70" i="4"/>
  <c r="R68" i="4"/>
  <c r="R66" i="4"/>
  <c r="R23" i="4"/>
  <c r="R71" i="4"/>
  <c r="R67" i="4"/>
  <c r="R31" i="4"/>
  <c r="R8" i="4"/>
  <c r="B32" i="2"/>
  <c r="B33" i="2" s="1"/>
  <c r="R38" i="4"/>
  <c r="R33" i="4"/>
  <c r="R25" i="4"/>
  <c r="R17" i="4"/>
  <c r="R12" i="4"/>
  <c r="R40" i="4"/>
  <c r="R35" i="4"/>
  <c r="R27" i="4"/>
  <c r="R19" i="4"/>
  <c r="K8" i="2"/>
  <c r="B166" i="2"/>
  <c r="B199" i="2"/>
  <c r="B200" i="2" s="1"/>
  <c r="B46" i="5"/>
  <c r="T8" i="5"/>
  <c r="T38" i="5"/>
  <c r="T24" i="5"/>
  <c r="U24" i="5" s="1"/>
  <c r="T32" i="5"/>
  <c r="V32" i="5" s="1"/>
  <c r="T22" i="5"/>
  <c r="U22" i="5" s="1"/>
  <c r="T43" i="5"/>
  <c r="T41" i="5"/>
  <c r="T64" i="5"/>
  <c r="T30" i="5"/>
  <c r="T56" i="5"/>
  <c r="U56" i="5" s="1"/>
  <c r="T67" i="5"/>
  <c r="T63" i="5"/>
  <c r="V63" i="5" s="1"/>
  <c r="T76" i="5"/>
  <c r="T57" i="5"/>
  <c r="T89" i="5"/>
  <c r="V89" i="5" s="1"/>
  <c r="T82" i="5"/>
  <c r="U82" i="5" s="1"/>
  <c r="T98" i="5"/>
  <c r="T105" i="5"/>
  <c r="T83" i="5"/>
  <c r="T91" i="5"/>
  <c r="U91" i="5" s="1"/>
  <c r="T37" i="5"/>
  <c r="V37" i="5" s="1"/>
  <c r="T121" i="5"/>
  <c r="T136" i="5"/>
  <c r="U136" i="5" s="1"/>
  <c r="T155" i="5"/>
  <c r="T106" i="5"/>
  <c r="T117" i="5"/>
  <c r="T131" i="5"/>
  <c r="T151" i="5"/>
  <c r="T114" i="5"/>
  <c r="T130" i="5"/>
  <c r="U130" i="5" s="1"/>
  <c r="T146" i="5"/>
  <c r="U146" i="5" s="1"/>
  <c r="T134" i="5"/>
  <c r="V134" i="5" s="1"/>
  <c r="T171" i="5"/>
  <c r="T181" i="5"/>
  <c r="V181" i="5" s="1"/>
  <c r="T118" i="5"/>
  <c r="T169" i="5"/>
  <c r="T79" i="5"/>
  <c r="T161" i="5"/>
  <c r="T183" i="5"/>
  <c r="V183" i="5" s="1"/>
  <c r="T190" i="5"/>
  <c r="T201" i="5"/>
  <c r="U201" i="5" s="1"/>
  <c r="T188" i="5"/>
  <c r="T203" i="5"/>
  <c r="U203" i="5" s="1"/>
  <c r="T211" i="5"/>
  <c r="T223" i="5"/>
  <c r="T239" i="5"/>
  <c r="T150" i="5"/>
  <c r="T199" i="5"/>
  <c r="V199" i="5" s="1"/>
  <c r="T222" i="5"/>
  <c r="U222" i="5" s="1"/>
  <c r="T242" i="5"/>
  <c r="U242" i="5" s="1"/>
  <c r="T174" i="5"/>
  <c r="T207" i="5"/>
  <c r="T221" i="5"/>
  <c r="T235" i="5"/>
  <c r="U235" i="5" s="1"/>
  <c r="T176" i="5"/>
  <c r="T252" i="5"/>
  <c r="T260" i="5"/>
  <c r="T273" i="5"/>
  <c r="T279" i="5"/>
  <c r="U279" i="5" s="1"/>
  <c r="T301" i="5"/>
  <c r="V301" i="5" s="1"/>
  <c r="T318" i="5"/>
  <c r="V318" i="5" s="1"/>
  <c r="T334" i="5"/>
  <c r="T250" i="5"/>
  <c r="T276" i="5"/>
  <c r="T44" i="5"/>
  <c r="T26" i="5"/>
  <c r="T39" i="5"/>
  <c r="T34" i="5"/>
  <c r="T47" i="5"/>
  <c r="T52" i="5"/>
  <c r="T70" i="5"/>
  <c r="T33" i="5"/>
  <c r="T59" i="5"/>
  <c r="T35" i="5"/>
  <c r="T66" i="5"/>
  <c r="T80" i="5"/>
  <c r="T61" i="5"/>
  <c r="T92" i="5"/>
  <c r="T94" i="5"/>
  <c r="T69" i="5"/>
  <c r="T107" i="5"/>
  <c r="T85" i="5"/>
  <c r="T101" i="5"/>
  <c r="T87" i="5"/>
  <c r="T126" i="5"/>
  <c r="T139" i="5"/>
  <c r="T84" i="5"/>
  <c r="T109" i="5"/>
  <c r="T123" i="5"/>
  <c r="T137" i="5"/>
  <c r="T156" i="5"/>
  <c r="T115" i="5"/>
  <c r="T138" i="5"/>
  <c r="T152" i="5"/>
  <c r="T149" i="5"/>
  <c r="T173" i="5"/>
  <c r="T187" i="5"/>
  <c r="T133" i="5"/>
  <c r="T170" i="5"/>
  <c r="T100" i="5"/>
  <c r="T172" i="5"/>
  <c r="T185" i="5"/>
  <c r="T194" i="5"/>
  <c r="T204" i="5"/>
  <c r="T196" i="5"/>
  <c r="T205" i="5"/>
  <c r="T215" i="5"/>
  <c r="T224" i="5"/>
  <c r="T245" i="5"/>
  <c r="T159" i="5"/>
  <c r="T212" i="5"/>
  <c r="T229" i="5"/>
  <c r="T243" i="5"/>
  <c r="T180" i="5"/>
  <c r="T210" i="5"/>
  <c r="T225" i="5"/>
  <c r="T236" i="5"/>
  <c r="T241" i="5"/>
  <c r="T254" i="5"/>
  <c r="T263" i="5"/>
  <c r="T274" i="5"/>
  <c r="T282" i="5"/>
  <c r="T306" i="5"/>
  <c r="T322" i="5"/>
  <c r="T135" i="5"/>
  <c r="T251" i="5"/>
  <c r="T284" i="5"/>
  <c r="T299" i="5"/>
  <c r="T316" i="5"/>
  <c r="T331" i="5"/>
  <c r="T246" i="5"/>
  <c r="T261" i="5"/>
  <c r="T271" i="5"/>
  <c r="T293" i="5"/>
  <c r="T303" i="5"/>
  <c r="T320" i="5"/>
  <c r="T335" i="5"/>
  <c r="T356" i="5"/>
  <c r="T283" i="5"/>
  <c r="T315" i="5"/>
  <c r="T345" i="5"/>
  <c r="T364" i="5"/>
  <c r="T381" i="5"/>
  <c r="T400" i="5"/>
  <c r="T415" i="5"/>
  <c r="T429" i="5"/>
  <c r="T214" i="5"/>
  <c r="T341" i="5"/>
  <c r="T375" i="5"/>
  <c r="T386" i="5"/>
  <c r="T407" i="5"/>
  <c r="T195" i="5"/>
  <c r="T294" i="5"/>
  <c r="T348" i="5"/>
  <c r="T363" i="5"/>
  <c r="T382" i="5"/>
  <c r="T399" i="5"/>
  <c r="T411" i="5"/>
  <c r="T324" i="5"/>
  <c r="T428" i="5"/>
  <c r="T443" i="5"/>
  <c r="T458" i="5"/>
  <c r="T478" i="5"/>
  <c r="T499" i="5"/>
  <c r="T513" i="5"/>
  <c r="T532" i="5"/>
  <c r="T347" i="5"/>
  <c r="T438" i="5"/>
  <c r="T456" i="5"/>
  <c r="T468" i="5"/>
  <c r="T480" i="5"/>
  <c r="T498" i="5"/>
  <c r="T504" i="5"/>
  <c r="T29" i="5"/>
  <c r="T31" i="5"/>
  <c r="T40" i="5"/>
  <c r="T54" i="5"/>
  <c r="T51" i="5"/>
  <c r="T58" i="5"/>
  <c r="T77" i="5"/>
  <c r="T81" i="5"/>
  <c r="T102" i="5"/>
  <c r="T90" i="5"/>
  <c r="T113" i="5"/>
  <c r="T147" i="5"/>
  <c r="T116" i="5"/>
  <c r="T148" i="5"/>
  <c r="T122" i="5"/>
  <c r="T128" i="5"/>
  <c r="T178" i="5"/>
  <c r="T163" i="5"/>
  <c r="T158" i="5"/>
  <c r="T189" i="5"/>
  <c r="T164" i="5"/>
  <c r="T209" i="5"/>
  <c r="T234" i="5"/>
  <c r="T193" i="5"/>
  <c r="T238" i="5"/>
  <c r="T192" i="5"/>
  <c r="T233" i="5"/>
  <c r="T249" i="5"/>
  <c r="T270" i="5"/>
  <c r="T295" i="5"/>
  <c r="T332" i="5"/>
  <c r="T266" i="5"/>
  <c r="T302" i="5"/>
  <c r="T325" i="5"/>
  <c r="T231" i="5"/>
  <c r="U231" i="5" s="1"/>
  <c r="T264" i="5"/>
  <c r="T285" i="5"/>
  <c r="T300" i="5"/>
  <c r="V300" i="5" s="1"/>
  <c r="T321" i="5"/>
  <c r="T349" i="5"/>
  <c r="T280" i="5"/>
  <c r="T329" i="5"/>
  <c r="T359" i="5"/>
  <c r="T378" i="5"/>
  <c r="T403" i="5"/>
  <c r="T421" i="5"/>
  <c r="T437" i="5"/>
  <c r="T369" i="5"/>
  <c r="T380" i="5"/>
  <c r="T396" i="5"/>
  <c r="V396" i="5" s="1"/>
  <c r="T228" i="5"/>
  <c r="T336" i="5"/>
  <c r="T361" i="5"/>
  <c r="T383" i="5"/>
  <c r="T404" i="5"/>
  <c r="T287" i="5"/>
  <c r="V287" i="5" s="1"/>
  <c r="T430" i="5"/>
  <c r="T448" i="5"/>
  <c r="T472" i="5"/>
  <c r="T505" i="5"/>
  <c r="T516" i="5"/>
  <c r="T339" i="5"/>
  <c r="T442" i="5"/>
  <c r="T462" i="5"/>
  <c r="T475" i="5"/>
  <c r="U475" i="5" s="1"/>
  <c r="T500" i="5"/>
  <c r="T512" i="5"/>
  <c r="T522" i="5"/>
  <c r="T368" i="5"/>
  <c r="T398" i="5"/>
  <c r="T422" i="5"/>
  <c r="T439" i="5"/>
  <c r="T457" i="5"/>
  <c r="T470" i="5"/>
  <c r="T486" i="5"/>
  <c r="T493" i="5"/>
  <c r="T526" i="5"/>
  <c r="T557" i="5"/>
  <c r="T344" i="5"/>
  <c r="T465" i="5"/>
  <c r="T536" i="5"/>
  <c r="T545" i="5"/>
  <c r="T554" i="5"/>
  <c r="T406" i="5"/>
  <c r="T490" i="5"/>
  <c r="T524" i="5"/>
  <c r="T552" i="5"/>
  <c r="T440" i="5"/>
  <c r="T535" i="5"/>
  <c r="T559" i="5"/>
  <c r="T469" i="5"/>
  <c r="T502" i="5"/>
  <c r="T19" i="5"/>
  <c r="T46" i="5"/>
  <c r="T42" i="5"/>
  <c r="T48" i="5"/>
  <c r="T20" i="5"/>
  <c r="T62" i="5"/>
  <c r="T68" i="5"/>
  <c r="T73" i="5"/>
  <c r="T96" i="5"/>
  <c r="T60" i="5"/>
  <c r="T108" i="5"/>
  <c r="T127" i="5"/>
  <c r="T99" i="5"/>
  <c r="T124" i="5"/>
  <c r="T75" i="5"/>
  <c r="T143" i="5"/>
  <c r="T165" i="5"/>
  <c r="T86" i="5"/>
  <c r="T182" i="5"/>
  <c r="T175" i="5"/>
  <c r="T197" i="5"/>
  <c r="T200" i="5"/>
  <c r="T218" i="5"/>
  <c r="T120" i="5"/>
  <c r="T216" i="5"/>
  <c r="T157" i="5"/>
  <c r="T213" i="5"/>
  <c r="T240" i="5"/>
  <c r="T255" i="5"/>
  <c r="T277" i="5"/>
  <c r="T308" i="5"/>
  <c r="T237" i="5"/>
  <c r="T288" i="5"/>
  <c r="T311" i="5"/>
  <c r="T328" i="5"/>
  <c r="T253" i="5"/>
  <c r="T268" i="5"/>
  <c r="T290" i="5"/>
  <c r="U290" i="5" s="1"/>
  <c r="T305" i="5"/>
  <c r="T326" i="5"/>
  <c r="T354" i="5"/>
  <c r="T286" i="5"/>
  <c r="T337" i="5"/>
  <c r="T362" i="5"/>
  <c r="V362" i="5" s="1"/>
  <c r="T387" i="5"/>
  <c r="T405" i="5"/>
  <c r="T424" i="5"/>
  <c r="T247" i="5"/>
  <c r="T371" i="5"/>
  <c r="T385" i="5"/>
  <c r="T409" i="5"/>
  <c r="T272" i="5"/>
  <c r="T340" i="5"/>
  <c r="T21" i="5"/>
  <c r="T45" i="5"/>
  <c r="T49" i="5"/>
  <c r="T23" i="5"/>
  <c r="T65" i="5"/>
  <c r="T71" i="5"/>
  <c r="T78" i="5"/>
  <c r="T97" i="5"/>
  <c r="T72" i="5"/>
  <c r="T110" i="5"/>
  <c r="T132" i="5"/>
  <c r="T103" i="5"/>
  <c r="T129" i="5"/>
  <c r="T104" i="5"/>
  <c r="T145" i="5"/>
  <c r="T167" i="5"/>
  <c r="T111" i="5"/>
  <c r="T184" i="5"/>
  <c r="T179" i="5"/>
  <c r="T198" i="5"/>
  <c r="T202" i="5"/>
  <c r="T220" i="5"/>
  <c r="T144" i="5"/>
  <c r="T217" i="5"/>
  <c r="T168" i="5"/>
  <c r="T219" i="5"/>
  <c r="T153" i="5"/>
  <c r="T257" i="5"/>
  <c r="T278" i="5"/>
  <c r="T314" i="5"/>
  <c r="T244" i="5"/>
  <c r="T291" i="5"/>
  <c r="T313" i="5"/>
  <c r="V313" i="5" s="1"/>
  <c r="T160" i="5"/>
  <c r="T256" i="5"/>
  <c r="T269" i="5"/>
  <c r="T296" i="5"/>
  <c r="T307" i="5"/>
  <c r="T330" i="5"/>
  <c r="T262" i="5"/>
  <c r="T309" i="5"/>
  <c r="T342" i="5"/>
  <c r="U342" i="5" s="1"/>
  <c r="T366" i="5"/>
  <c r="T390" i="5"/>
  <c r="T410" i="5"/>
  <c r="T433" i="5"/>
  <c r="T297" i="5"/>
  <c r="T372" i="5"/>
  <c r="U372" i="5" s="1"/>
  <c r="T389" i="5"/>
  <c r="T418" i="5"/>
  <c r="T275" i="5"/>
  <c r="U275" i="5" s="1"/>
  <c r="T353" i="5"/>
  <c r="T373" i="5"/>
  <c r="T392" i="5"/>
  <c r="T414" i="5"/>
  <c r="T53" i="5"/>
  <c r="T25" i="5"/>
  <c r="T141" i="5"/>
  <c r="T125" i="5"/>
  <c r="T186" i="5"/>
  <c r="T166" i="5"/>
  <c r="T248" i="5"/>
  <c r="T258" i="5"/>
  <c r="T259" i="5"/>
  <c r="T343" i="5"/>
  <c r="T367" i="5"/>
  <c r="T317" i="5"/>
  <c r="T319" i="5"/>
  <c r="T388" i="5"/>
  <c r="T357" i="5"/>
  <c r="T441" i="5"/>
  <c r="T466" i="5"/>
  <c r="T507" i="5"/>
  <c r="T533" i="5"/>
  <c r="T431" i="5"/>
  <c r="T464" i="5"/>
  <c r="U464" i="5" s="1"/>
  <c r="T485" i="5"/>
  <c r="T511" i="5"/>
  <c r="T333" i="5"/>
  <c r="T377" i="5"/>
  <c r="T416" i="5"/>
  <c r="T446" i="5"/>
  <c r="T463" i="5"/>
  <c r="T482" i="5"/>
  <c r="T495" i="5"/>
  <c r="U495" i="5" s="1"/>
  <c r="T538" i="5"/>
  <c r="T338" i="5"/>
  <c r="T484" i="5"/>
  <c r="U484" i="5" s="1"/>
  <c r="T540" i="5"/>
  <c r="T550" i="5"/>
  <c r="T412" i="5"/>
  <c r="U412" i="5" s="1"/>
  <c r="T514" i="5"/>
  <c r="T551" i="5"/>
  <c r="T449" i="5"/>
  <c r="T549" i="5"/>
  <c r="T445" i="5"/>
  <c r="T509" i="5"/>
  <c r="U509" i="5" s="1"/>
  <c r="T28" i="5"/>
  <c r="T50" i="5"/>
  <c r="T95" i="5"/>
  <c r="T112" i="5"/>
  <c r="T177" i="5"/>
  <c r="T206" i="5"/>
  <c r="T232" i="5"/>
  <c r="T265" i="5"/>
  <c r="T292" i="5"/>
  <c r="T281" i="5"/>
  <c r="T267" i="5"/>
  <c r="T393" i="5"/>
  <c r="T376" i="5"/>
  <c r="T355" i="5"/>
  <c r="T402" i="5"/>
  <c r="T370" i="5"/>
  <c r="T447" i="5"/>
  <c r="T481" i="5"/>
  <c r="T508" i="5"/>
  <c r="U508" i="5" s="1"/>
  <c r="T537" i="5"/>
  <c r="T453" i="5"/>
  <c r="T471" i="5"/>
  <c r="T496" i="5"/>
  <c r="T517" i="5"/>
  <c r="T358" i="5"/>
  <c r="T395" i="5"/>
  <c r="T425" i="5"/>
  <c r="T452" i="5"/>
  <c r="T467" i="5"/>
  <c r="T487" i="5"/>
  <c r="T506" i="5"/>
  <c r="T556" i="5"/>
  <c r="T346" i="5"/>
  <c r="T529" i="5"/>
  <c r="T542" i="5"/>
  <c r="T541" i="5"/>
  <c r="T426" i="5"/>
  <c r="T518" i="5"/>
  <c r="T553" i="5"/>
  <c r="V553" i="5" s="1"/>
  <c r="T528" i="5"/>
  <c r="T558" i="5"/>
  <c r="T476" i="5"/>
  <c r="T520" i="5"/>
  <c r="T27" i="5"/>
  <c r="T55" i="5"/>
  <c r="T88" i="5"/>
  <c r="T142" i="5"/>
  <c r="T140" i="5"/>
  <c r="T208" i="5"/>
  <c r="T191" i="5"/>
  <c r="T289" i="5"/>
  <c r="T323" i="5"/>
  <c r="T298" i="5"/>
  <c r="T312" i="5"/>
  <c r="U312" i="5" s="1"/>
  <c r="T420" i="5"/>
  <c r="T391" i="5"/>
  <c r="T365" i="5"/>
  <c r="T408" i="5"/>
  <c r="T384" i="5"/>
  <c r="U384" i="5" s="1"/>
  <c r="T451" i="5"/>
  <c r="V451" i="5" s="1"/>
  <c r="T491" i="5"/>
  <c r="T515" i="5"/>
  <c r="T351" i="5"/>
  <c r="T454" i="5"/>
  <c r="U454" i="5" s="1"/>
  <c r="T474" i="5"/>
  <c r="T501" i="5"/>
  <c r="T519" i="5"/>
  <c r="T360" i="5"/>
  <c r="T401" i="5"/>
  <c r="T434" i="5"/>
  <c r="T455" i="5"/>
  <c r="T473" i="5"/>
  <c r="U473" i="5" s="1"/>
  <c r="T489" i="5"/>
  <c r="T510" i="5"/>
  <c r="T560" i="5"/>
  <c r="T352" i="5"/>
  <c r="T534" i="5"/>
  <c r="T546" i="5"/>
  <c r="T544" i="5"/>
  <c r="T450" i="5"/>
  <c r="T527" i="5"/>
  <c r="T555" i="5"/>
  <c r="T530" i="5"/>
  <c r="T397" i="5"/>
  <c r="T479" i="5"/>
  <c r="T523" i="5"/>
  <c r="T119" i="5"/>
  <c r="T327" i="5"/>
  <c r="T436" i="5"/>
  <c r="T432" i="5"/>
  <c r="T427" i="5"/>
  <c r="T521" i="5"/>
  <c r="T461" i="5"/>
  <c r="U461" i="5" s="1"/>
  <c r="T304" i="5"/>
  <c r="T394" i="5"/>
  <c r="T547" i="5"/>
  <c r="T36" i="5"/>
  <c r="T154" i="5"/>
  <c r="T226" i="5"/>
  <c r="T162" i="5"/>
  <c r="U162" i="5" s="1"/>
  <c r="T460" i="5"/>
  <c r="T459" i="5"/>
  <c r="T374" i="5"/>
  <c r="V374" i="5" s="1"/>
  <c r="T477" i="5"/>
  <c r="T444" i="5"/>
  <c r="T497" i="5"/>
  <c r="T423" i="5"/>
  <c r="T74" i="5"/>
  <c r="T227" i="5"/>
  <c r="T310" i="5"/>
  <c r="T379" i="5"/>
  <c r="T494" i="5"/>
  <c r="T483" i="5"/>
  <c r="T413" i="5"/>
  <c r="T492" i="5"/>
  <c r="T539" i="5"/>
  <c r="V539" i="5" s="1"/>
  <c r="T543" i="5"/>
  <c r="T488" i="5"/>
  <c r="T93" i="5"/>
  <c r="T525" i="5"/>
  <c r="T548" i="5"/>
  <c r="T230" i="5"/>
  <c r="T503" i="5"/>
  <c r="T419" i="5"/>
  <c r="T350" i="5"/>
  <c r="T435" i="5"/>
  <c r="AU61" i="5"/>
  <c r="U417" i="5"/>
  <c r="T531" i="5"/>
  <c r="AT7" i="5"/>
  <c r="B5" i="8"/>
  <c r="E28" i="2"/>
  <c r="AZ27" i="5"/>
  <c r="AZ60" i="5"/>
  <c r="AZ66" i="5"/>
  <c r="AZ69" i="5"/>
  <c r="AZ98" i="5"/>
  <c r="AZ140" i="5"/>
  <c r="AZ135" i="5"/>
  <c r="AZ148" i="5"/>
  <c r="AZ164" i="5"/>
  <c r="AZ173" i="5"/>
  <c r="AZ211" i="5"/>
  <c r="AZ212" i="5"/>
  <c r="AZ200" i="5"/>
  <c r="AZ264" i="5"/>
  <c r="AZ318" i="5"/>
  <c r="AZ305" i="5"/>
  <c r="AZ265" i="5"/>
  <c r="AZ324" i="5"/>
  <c r="AZ299" i="5"/>
  <c r="AZ22" i="5"/>
  <c r="AZ35" i="5"/>
  <c r="AZ55" i="5"/>
  <c r="AZ59" i="5"/>
  <c r="AZ95" i="5"/>
  <c r="AZ121" i="5"/>
  <c r="AZ126" i="5"/>
  <c r="AZ139" i="5"/>
  <c r="AZ150" i="5"/>
  <c r="AZ158" i="5"/>
  <c r="AZ190" i="5"/>
  <c r="AZ196" i="5"/>
  <c r="AZ184" i="5"/>
  <c r="AZ246" i="5"/>
  <c r="AZ303" i="5"/>
  <c r="AZ290" i="5"/>
  <c r="AZ255" i="5"/>
  <c r="AZ315" i="5"/>
  <c r="AZ218" i="5"/>
  <c r="AZ393" i="5"/>
  <c r="AZ40" i="5"/>
  <c r="AZ50" i="5"/>
  <c r="AZ24" i="5"/>
  <c r="AZ23" i="5"/>
  <c r="AZ91" i="5"/>
  <c r="AZ110" i="5"/>
  <c r="AZ123" i="5"/>
  <c r="AZ127" i="5"/>
  <c r="AZ116" i="5"/>
  <c r="AZ152" i="5"/>
  <c r="AZ171" i="5"/>
  <c r="AZ194" i="5"/>
  <c r="AZ161" i="5"/>
  <c r="AZ220" i="5"/>
  <c r="AZ296" i="5"/>
  <c r="AZ278" i="5"/>
  <c r="AZ249" i="5"/>
  <c r="AZ312" i="5"/>
  <c r="B59" i="5"/>
  <c r="G126" i="2"/>
  <c r="B148" i="2"/>
  <c r="V136" i="5"/>
  <c r="V203" i="5"/>
  <c r="U300" i="5"/>
  <c r="V146" i="5"/>
  <c r="U199" i="5"/>
  <c r="U301" i="5"/>
  <c r="U396" i="5"/>
  <c r="V464" i="5"/>
  <c r="V509" i="5"/>
  <c r="V91" i="5"/>
  <c r="U63" i="5"/>
  <c r="V495" i="5"/>
  <c r="U451" i="5"/>
  <c r="U134" i="5"/>
  <c r="V279" i="5"/>
  <c r="V473" i="5"/>
  <c r="B75" i="5"/>
  <c r="AJ56" i="5" s="1"/>
  <c r="R60" i="4"/>
  <c r="R56" i="4"/>
  <c r="R52" i="4"/>
  <c r="R48" i="4"/>
  <c r="R44" i="4"/>
  <c r="R36" i="4"/>
  <c r="R34" i="4"/>
  <c r="R32" i="4"/>
  <c r="R30" i="4"/>
  <c r="R13" i="4"/>
  <c r="R11" i="4"/>
  <c r="R9" i="4"/>
  <c r="R81" i="4"/>
  <c r="R77" i="4"/>
  <c r="R73" i="4"/>
  <c r="R69" i="4"/>
  <c r="R65" i="4"/>
  <c r="R61" i="4"/>
  <c r="R57" i="4"/>
  <c r="R53" i="4"/>
  <c r="R49" i="4"/>
  <c r="R45" i="4"/>
  <c r="R41" i="4"/>
  <c r="R39" i="4"/>
  <c r="R28" i="4"/>
  <c r="R26" i="4"/>
  <c r="R24" i="4"/>
  <c r="R22" i="4"/>
  <c r="R20" i="4"/>
  <c r="R18" i="4"/>
  <c r="R16" i="4"/>
  <c r="R14" i="4"/>
  <c r="B22" i="2"/>
  <c r="H50" i="1"/>
  <c r="B130" i="2"/>
  <c r="B131" i="2"/>
  <c r="AS10" i="4"/>
  <c r="AS34" i="4"/>
  <c r="AS46" i="4"/>
  <c r="AS54" i="4"/>
  <c r="AS58" i="4"/>
  <c r="AS66" i="4"/>
  <c r="AS74" i="4"/>
  <c r="AS82" i="4"/>
  <c r="AS90" i="4"/>
  <c r="AS98" i="4"/>
  <c r="AS102" i="4"/>
  <c r="AS110" i="4"/>
  <c r="AS118" i="4"/>
  <c r="AS126" i="4"/>
  <c r="AS134" i="4"/>
  <c r="AS142" i="4"/>
  <c r="AS150" i="4"/>
  <c r="AS7" i="4"/>
  <c r="AS148" i="4"/>
  <c r="AS11" i="4"/>
  <c r="AS15" i="4"/>
  <c r="AS19" i="4"/>
  <c r="AS23" i="4"/>
  <c r="AS27" i="4"/>
  <c r="AS31" i="4"/>
  <c r="AS35" i="4"/>
  <c r="AS39" i="4"/>
  <c r="AS43" i="4"/>
  <c r="AS47" i="4"/>
  <c r="AS51" i="4"/>
  <c r="AS55" i="4"/>
  <c r="AS59" i="4"/>
  <c r="AS63" i="4"/>
  <c r="AS67" i="4"/>
  <c r="AS71" i="4"/>
  <c r="AS75" i="4"/>
  <c r="AS79" i="4"/>
  <c r="AS83" i="4"/>
  <c r="AS87" i="4"/>
  <c r="AS91" i="4"/>
  <c r="AS95" i="4"/>
  <c r="AS99" i="4"/>
  <c r="AS103" i="4"/>
  <c r="AS107" i="4"/>
  <c r="AS111" i="4"/>
  <c r="AS115" i="4"/>
  <c r="AS119" i="4"/>
  <c r="AS123" i="4"/>
  <c r="AS127" i="4"/>
  <c r="AS131" i="4"/>
  <c r="AS135" i="4"/>
  <c r="AS139" i="4"/>
  <c r="AS143" i="4"/>
  <c r="AS147" i="4"/>
  <c r="AS151" i="4"/>
  <c r="AS155" i="4"/>
  <c r="AS12" i="4"/>
  <c r="AS16" i="4"/>
  <c r="AS20" i="4"/>
  <c r="AS24" i="4"/>
  <c r="AS28" i="4"/>
  <c r="AS36" i="4"/>
  <c r="AS40" i="4"/>
  <c r="AS48" i="4"/>
  <c r="AS56" i="4"/>
  <c r="AS60" i="4"/>
  <c r="AS68" i="4"/>
  <c r="AS76" i="4"/>
  <c r="AS84" i="4"/>
  <c r="AS88" i="4"/>
  <c r="AS96" i="4"/>
  <c r="AS104" i="4"/>
  <c r="AS108" i="4"/>
  <c r="AS116" i="4"/>
  <c r="AS124" i="4"/>
  <c r="AS128" i="4"/>
  <c r="AS136" i="4"/>
  <c r="AS152" i="4"/>
  <c r="AS8" i="4"/>
  <c r="AS32" i="4"/>
  <c r="AS44" i="4"/>
  <c r="AS52" i="4"/>
  <c r="AS64" i="4"/>
  <c r="AS72" i="4"/>
  <c r="AS80" i="4"/>
  <c r="AS92" i="4"/>
  <c r="AS100" i="4"/>
  <c r="AS112" i="4"/>
  <c r="AS120" i="4"/>
  <c r="AS132" i="4"/>
  <c r="AS144" i="4"/>
  <c r="AS9" i="4"/>
  <c r="AS13" i="4"/>
  <c r="AS17" i="4"/>
  <c r="AS21" i="4"/>
  <c r="AS25" i="4"/>
  <c r="AS29" i="4"/>
  <c r="AS33" i="4"/>
  <c r="AS37" i="4"/>
  <c r="AS41" i="4"/>
  <c r="AS45" i="4"/>
  <c r="AS49" i="4"/>
  <c r="AS53" i="4"/>
  <c r="AS57" i="4"/>
  <c r="AS61" i="4"/>
  <c r="AS65" i="4"/>
  <c r="AS69" i="4"/>
  <c r="AS73" i="4"/>
  <c r="AS77" i="4"/>
  <c r="AS81" i="4"/>
  <c r="AS85" i="4"/>
  <c r="AS89" i="4"/>
  <c r="AS93" i="4"/>
  <c r="AS97" i="4"/>
  <c r="AS101" i="4"/>
  <c r="AS105" i="4"/>
  <c r="AS109" i="4"/>
  <c r="AS113" i="4"/>
  <c r="AS117" i="4"/>
  <c r="AS121" i="4"/>
  <c r="AS125" i="4"/>
  <c r="AS129" i="4"/>
  <c r="AS133" i="4"/>
  <c r="AS137" i="4"/>
  <c r="AS141" i="4"/>
  <c r="AS145" i="4"/>
  <c r="AS149" i="4"/>
  <c r="AS153" i="4"/>
  <c r="AS157" i="4"/>
  <c r="AS14" i="4"/>
  <c r="AS18" i="4"/>
  <c r="AS22" i="4"/>
  <c r="AS26" i="4"/>
  <c r="AS30" i="4"/>
  <c r="AS38" i="4"/>
  <c r="AS42" i="4"/>
  <c r="AS50" i="4"/>
  <c r="AS62" i="4"/>
  <c r="AS70" i="4"/>
  <c r="AS78" i="4"/>
  <c r="AS86" i="4"/>
  <c r="AS94" i="4"/>
  <c r="AS106" i="4"/>
  <c r="AS114" i="4"/>
  <c r="AS122" i="4"/>
  <c r="AS130" i="4"/>
  <c r="AS138" i="4"/>
  <c r="AS146" i="4"/>
  <c r="AS154" i="4"/>
  <c r="AS140" i="4"/>
  <c r="AS156" i="4"/>
  <c r="V24" i="5" l="1"/>
  <c r="V290" i="5"/>
  <c r="U539" i="5"/>
  <c r="U313" i="5"/>
  <c r="U89" i="5"/>
  <c r="U183" i="5"/>
  <c r="V231" i="5"/>
  <c r="V454" i="5"/>
  <c r="V82" i="5"/>
  <c r="U32" i="5"/>
  <c r="V461" i="5"/>
  <c r="AT286" i="5"/>
  <c r="AT93" i="5"/>
  <c r="AT111" i="5"/>
  <c r="AT102" i="5"/>
  <c r="AT46" i="5"/>
  <c r="AV46" i="5" s="1"/>
  <c r="AT153" i="5"/>
  <c r="AT249" i="5"/>
  <c r="AT43" i="5"/>
  <c r="AT130" i="5"/>
  <c r="AT191" i="5"/>
  <c r="AV191" i="5" s="1"/>
  <c r="V342" i="5"/>
  <c r="AT89" i="5"/>
  <c r="AT248" i="5"/>
  <c r="AT237" i="5"/>
  <c r="AT91" i="5"/>
  <c r="AT198" i="5"/>
  <c r="AJ84" i="5"/>
  <c r="AJ147" i="5"/>
  <c r="AL147" i="5" s="1"/>
  <c r="AT38" i="5"/>
  <c r="AT44" i="5"/>
  <c r="AT32" i="5"/>
  <c r="AV32" i="5" s="1"/>
  <c r="AT328" i="5"/>
  <c r="AV328" i="5" s="1"/>
  <c r="AT276" i="5"/>
  <c r="AU276" i="5" s="1"/>
  <c r="AT314" i="5"/>
  <c r="AT257" i="5"/>
  <c r="AT221" i="5"/>
  <c r="AT211" i="5"/>
  <c r="AT176" i="5"/>
  <c r="AT160" i="5"/>
  <c r="AT131" i="5"/>
  <c r="AT135" i="5"/>
  <c r="AT118" i="5"/>
  <c r="AT141" i="5"/>
  <c r="AT79" i="5"/>
  <c r="AV79" i="5" s="1"/>
  <c r="AT78" i="5"/>
  <c r="AV78" i="5" s="1"/>
  <c r="AT23" i="5"/>
  <c r="AT25" i="5"/>
  <c r="AT335" i="5"/>
  <c r="AT259" i="5"/>
  <c r="AT297" i="5"/>
  <c r="AT205" i="5"/>
  <c r="AT280" i="5"/>
  <c r="AT238" i="5"/>
  <c r="AT243" i="5"/>
  <c r="AT234" i="5"/>
  <c r="AT189" i="5"/>
  <c r="AV189" i="5" s="1"/>
  <c r="AT181" i="5"/>
  <c r="AU181" i="5" s="1"/>
  <c r="AT173" i="5"/>
  <c r="AT138" i="5"/>
  <c r="AT126" i="5"/>
  <c r="AT83" i="5"/>
  <c r="AT87" i="5"/>
  <c r="AT22" i="5"/>
  <c r="AT64" i="5"/>
  <c r="AT31" i="5"/>
  <c r="AT36" i="5"/>
  <c r="AT24" i="5"/>
  <c r="AT28" i="5"/>
  <c r="AV28" i="5" s="1"/>
  <c r="AT316" i="5"/>
  <c r="AV316" i="5" s="1"/>
  <c r="AT250" i="5"/>
  <c r="AT301" i="5"/>
  <c r="AT251" i="5"/>
  <c r="AT195" i="5"/>
  <c r="AT164" i="5"/>
  <c r="AT199" i="5"/>
  <c r="AT133" i="5"/>
  <c r="AT187" i="5"/>
  <c r="AT110" i="5"/>
  <c r="AT92" i="5"/>
  <c r="AT121" i="5"/>
  <c r="AV121" i="5" s="1"/>
  <c r="AT103" i="5"/>
  <c r="AV103" i="5" s="1"/>
  <c r="AT55" i="5"/>
  <c r="AT65" i="5"/>
  <c r="AT47" i="5"/>
  <c r="AT307" i="5"/>
  <c r="AT200" i="5"/>
  <c r="AT282" i="5"/>
  <c r="AT322" i="5"/>
  <c r="AT265" i="5"/>
  <c r="AT230" i="5"/>
  <c r="AT224" i="5"/>
  <c r="AT215" i="5"/>
  <c r="AU215" i="5" s="1"/>
  <c r="AT172" i="5"/>
  <c r="AV172" i="5" s="1"/>
  <c r="AT163" i="5"/>
  <c r="AT150" i="5"/>
  <c r="AT122" i="5"/>
  <c r="AT71" i="5"/>
  <c r="AT88" i="5"/>
  <c r="AT90" i="5"/>
  <c r="AT63" i="5"/>
  <c r="AT53" i="5"/>
  <c r="AT21" i="5"/>
  <c r="AT37" i="5"/>
  <c r="AT42" i="5"/>
  <c r="AV42" i="5" s="1"/>
  <c r="AT33" i="5"/>
  <c r="AT299" i="5"/>
  <c r="AT210" i="5"/>
  <c r="AT283" i="5"/>
  <c r="AT240" i="5"/>
  <c r="AT159" i="5"/>
  <c r="AT239" i="5"/>
  <c r="AT190" i="5"/>
  <c r="AT182" i="5"/>
  <c r="AT177" i="5"/>
  <c r="AT139" i="5"/>
  <c r="AT142" i="5"/>
  <c r="AU142" i="5" s="1"/>
  <c r="AT100" i="5"/>
  <c r="AU100" i="5" s="1"/>
  <c r="AT96" i="5"/>
  <c r="AT69" i="5"/>
  <c r="AT41" i="5"/>
  <c r="AT34" i="5"/>
  <c r="AT291" i="5"/>
  <c r="AT327" i="5"/>
  <c r="AT270" i="5"/>
  <c r="AT312" i="5"/>
  <c r="AT255" i="5"/>
  <c r="AT217" i="5"/>
  <c r="AT209" i="5"/>
  <c r="AV209" i="5" s="1"/>
  <c r="AT154" i="5"/>
  <c r="AV154" i="5" s="1"/>
  <c r="AT157" i="5"/>
  <c r="AT128" i="5"/>
  <c r="AT129" i="5"/>
  <c r="AT109" i="5"/>
  <c r="AT136" i="5"/>
  <c r="AT75" i="5"/>
  <c r="AT77" i="5"/>
  <c r="AT20" i="5"/>
  <c r="AT51" i="5"/>
  <c r="AT8" i="5"/>
  <c r="AT49" i="5"/>
  <c r="AT27" i="5"/>
  <c r="AT45" i="5"/>
  <c r="AT57" i="5"/>
  <c r="AT58" i="5"/>
  <c r="AT70" i="5"/>
  <c r="AT81" i="5"/>
  <c r="AT97" i="5"/>
  <c r="AT82" i="5"/>
  <c r="AT113" i="5"/>
  <c r="AT143" i="5"/>
  <c r="AT148" i="5"/>
  <c r="AT119" i="5"/>
  <c r="AT146" i="5"/>
  <c r="AT144" i="5"/>
  <c r="AT178" i="5"/>
  <c r="AT149" i="5"/>
  <c r="AT184" i="5"/>
  <c r="AT162" i="5"/>
  <c r="AT194" i="5"/>
  <c r="AT193" i="5"/>
  <c r="AT245" i="5"/>
  <c r="AT216" i="5"/>
  <c r="AT166" i="5"/>
  <c r="AT222" i="5"/>
  <c r="AT214" i="5"/>
  <c r="AT260" i="5"/>
  <c r="AT287" i="5"/>
  <c r="AT315" i="5"/>
  <c r="AT219" i="5"/>
  <c r="AT278" i="5"/>
  <c r="AT304" i="5"/>
  <c r="AT117" i="5"/>
  <c r="AT261" i="5"/>
  <c r="AT285" i="5"/>
  <c r="AT303" i="5"/>
  <c r="AT336" i="5"/>
  <c r="AT345" i="5"/>
  <c r="AT356" i="5"/>
  <c r="AT284" i="5"/>
  <c r="AT341" i="5"/>
  <c r="AT378" i="5"/>
  <c r="AT397" i="5"/>
  <c r="AT403" i="5"/>
  <c r="AT421" i="5"/>
  <c r="AT436" i="5"/>
  <c r="AT262" i="5"/>
  <c r="AT321" i="5"/>
  <c r="AT340" i="5"/>
  <c r="AT368" i="5"/>
  <c r="AT386" i="5"/>
  <c r="AT396" i="5"/>
  <c r="AT410" i="5"/>
  <c r="AT347" i="5"/>
  <c r="AT360" i="5"/>
  <c r="AT375" i="5"/>
  <c r="AT402" i="5"/>
  <c r="AT417" i="5"/>
  <c r="AT275" i="5"/>
  <c r="AT346" i="5"/>
  <c r="AT412" i="5"/>
  <c r="AT438" i="5"/>
  <c r="AT451" i="5"/>
  <c r="AT487" i="5"/>
  <c r="AT494" i="5"/>
  <c r="AT510" i="5"/>
  <c r="AT530" i="5"/>
  <c r="AT370" i="5"/>
  <c r="AT425" i="5"/>
  <c r="AT447" i="5"/>
  <c r="AT460" i="5"/>
  <c r="AT483" i="5"/>
  <c r="AT496" i="5"/>
  <c r="AT516" i="5"/>
  <c r="AT337" i="5"/>
  <c r="AT439" i="5"/>
  <c r="AT459" i="5"/>
  <c r="AT474" i="5"/>
  <c r="AT486" i="5"/>
  <c r="AT507" i="5"/>
  <c r="AT525" i="5"/>
  <c r="AT548" i="5"/>
  <c r="AT553" i="5"/>
  <c r="AT380" i="5"/>
  <c r="AT473" i="5"/>
  <c r="AT492" i="5"/>
  <c r="AT40" i="5"/>
  <c r="AT60" i="5"/>
  <c r="AT59" i="5"/>
  <c r="AT73" i="5"/>
  <c r="AT86" i="5"/>
  <c r="AT98" i="5"/>
  <c r="AT85" i="5"/>
  <c r="AT114" i="5"/>
  <c r="AT145" i="5"/>
  <c r="AT151" i="5"/>
  <c r="AT120" i="5"/>
  <c r="AT152" i="5"/>
  <c r="AT147" i="5"/>
  <c r="AT179" i="5"/>
  <c r="AT161" i="5"/>
  <c r="AT95" i="5"/>
  <c r="AT167" i="5"/>
  <c r="AT197" i="5"/>
  <c r="AT208" i="5"/>
  <c r="AT247" i="5"/>
  <c r="AT220" i="5"/>
  <c r="AT188" i="5"/>
  <c r="AT225" i="5"/>
  <c r="AT228" i="5"/>
  <c r="AT263" i="5"/>
  <c r="AT293" i="5"/>
  <c r="AT320" i="5"/>
  <c r="AT241" i="5"/>
  <c r="AT279" i="5"/>
  <c r="AT308" i="5"/>
  <c r="AT196" i="5"/>
  <c r="AT264" i="5"/>
  <c r="AT288" i="5"/>
  <c r="AT313" i="5"/>
  <c r="AT338" i="5"/>
  <c r="AT348" i="5"/>
  <c r="AT359" i="5"/>
  <c r="AT290" i="5"/>
  <c r="AT364" i="5"/>
  <c r="AT382" i="5"/>
  <c r="AT398" i="5"/>
  <c r="AT406" i="5"/>
  <c r="AT424" i="5"/>
  <c r="AT437" i="5"/>
  <c r="AT267" i="5"/>
  <c r="AT326" i="5"/>
  <c r="AT355" i="5"/>
  <c r="AT372" i="5"/>
  <c r="AT387" i="5"/>
  <c r="AT405" i="5"/>
  <c r="AT202" i="5"/>
  <c r="AT351" i="5"/>
  <c r="AT361" i="5"/>
  <c r="AT383" i="5"/>
  <c r="AT404" i="5"/>
  <c r="AT418" i="5"/>
  <c r="AT305" i="5"/>
  <c r="AT350" i="5"/>
  <c r="AT419" i="5"/>
  <c r="AT443" i="5"/>
  <c r="AT466" i="5"/>
  <c r="AT488" i="5"/>
  <c r="AT499" i="5"/>
  <c r="AT513" i="5"/>
  <c r="AT294" i="5"/>
  <c r="AT384" i="5"/>
  <c r="AT48" i="5"/>
  <c r="AT67" i="5"/>
  <c r="AT26" i="5"/>
  <c r="AT72" i="5"/>
  <c r="AT94" i="5"/>
  <c r="AT105" i="5"/>
  <c r="AT101" i="5"/>
  <c r="AT127" i="5"/>
  <c r="AT104" i="5"/>
  <c r="AT99" i="5"/>
  <c r="AT134" i="5"/>
  <c r="AT116" i="5"/>
  <c r="AT158" i="5"/>
  <c r="AT112" i="5"/>
  <c r="AT169" i="5"/>
  <c r="AT140" i="5"/>
  <c r="AT185" i="5"/>
  <c r="AT201" i="5"/>
  <c r="AT223" i="5"/>
  <c r="AT192" i="5"/>
  <c r="AT232" i="5"/>
  <c r="AT212" i="5"/>
  <c r="AT235" i="5"/>
  <c r="AT252" i="5"/>
  <c r="AT274" i="5"/>
  <c r="AT306" i="5"/>
  <c r="AT332" i="5"/>
  <c r="AT258" i="5"/>
  <c r="AT289" i="5"/>
  <c r="AT319" i="5"/>
  <c r="AT244" i="5"/>
  <c r="AT269" i="5"/>
  <c r="AT296" i="5"/>
  <c r="AT318" i="5"/>
  <c r="AT342" i="5"/>
  <c r="AT349" i="5"/>
  <c r="AT174" i="5"/>
  <c r="AT310" i="5"/>
  <c r="AT366" i="5"/>
  <c r="AT388" i="5"/>
  <c r="AT400" i="5"/>
  <c r="AT415" i="5"/>
  <c r="AT429" i="5"/>
  <c r="AT180" i="5"/>
  <c r="AT268" i="5"/>
  <c r="AT329" i="5"/>
  <c r="AT362" i="5"/>
  <c r="AT376" i="5"/>
  <c r="AT391" i="5"/>
  <c r="AT407" i="5"/>
  <c r="AT317" i="5"/>
  <c r="AT352" i="5"/>
  <c r="AT369" i="5"/>
  <c r="AT385" i="5"/>
  <c r="AT411" i="5"/>
  <c r="AT168" i="5"/>
  <c r="AT334" i="5"/>
  <c r="AT371" i="5"/>
  <c r="AT427" i="5"/>
  <c r="AT445" i="5"/>
  <c r="AT469" i="5"/>
  <c r="AT489" i="5"/>
  <c r="AT502" i="5"/>
  <c r="AT518" i="5"/>
  <c r="AT331" i="5"/>
  <c r="AT408" i="5"/>
  <c r="AT435" i="5"/>
  <c r="AT456" i="5"/>
  <c r="AT472" i="5"/>
  <c r="AT490" i="5"/>
  <c r="AT501" i="5"/>
  <c r="AT272" i="5"/>
  <c r="AT399" i="5"/>
  <c r="AT453" i="5"/>
  <c r="AT468" i="5"/>
  <c r="AT478" i="5"/>
  <c r="AT504" i="5"/>
  <c r="AT514" i="5"/>
  <c r="AT543" i="5"/>
  <c r="AT550" i="5"/>
  <c r="AT559" i="5"/>
  <c r="AT416" i="5"/>
  <c r="AT479" i="5"/>
  <c r="AT509" i="5"/>
  <c r="AT50" i="5"/>
  <c r="AT74" i="5"/>
  <c r="AT124" i="5"/>
  <c r="AT171" i="5"/>
  <c r="AT186" i="5"/>
  <c r="AT242" i="5"/>
  <c r="AT277" i="5"/>
  <c r="AT292" i="5"/>
  <c r="AT300" i="5"/>
  <c r="AT231" i="5"/>
  <c r="AT401" i="5"/>
  <c r="AT298" i="5"/>
  <c r="AT393" i="5"/>
  <c r="AT373" i="5"/>
  <c r="AT344" i="5"/>
  <c r="AT481" i="5"/>
  <c r="AT357" i="5"/>
  <c r="AT448" i="5"/>
  <c r="AT485" i="5"/>
  <c r="AT517" i="5"/>
  <c r="AT452" i="5"/>
  <c r="AT477" i="5"/>
  <c r="AT512" i="5"/>
  <c r="AT549" i="5"/>
  <c r="AT392" i="5"/>
  <c r="AT506" i="5"/>
  <c r="AT539" i="5"/>
  <c r="AT554" i="5"/>
  <c r="AT465" i="5"/>
  <c r="AT526" i="5"/>
  <c r="AT555" i="5"/>
  <c r="AT358" i="5"/>
  <c r="AT395" i="5"/>
  <c r="AT430" i="5"/>
  <c r="AT467" i="5"/>
  <c r="AT537" i="5"/>
  <c r="AT440" i="5"/>
  <c r="AT500" i="5"/>
  <c r="AT534" i="5"/>
  <c r="AT68" i="5"/>
  <c r="AT107" i="5"/>
  <c r="AT106" i="5"/>
  <c r="AT125" i="5"/>
  <c r="AT206" i="5"/>
  <c r="AT213" i="5"/>
  <c r="AT309" i="5"/>
  <c r="AT325" i="5"/>
  <c r="AT323" i="5"/>
  <c r="AT330" i="5"/>
  <c r="AT420" i="5"/>
  <c r="AT333" i="5"/>
  <c r="AT409" i="5"/>
  <c r="AT390" i="5"/>
  <c r="AT379" i="5"/>
  <c r="AT493" i="5"/>
  <c r="AT422" i="5"/>
  <c r="AT458" i="5"/>
  <c r="AT491" i="5"/>
  <c r="AT302" i="5"/>
  <c r="AT457" i="5"/>
  <c r="AT480" i="5"/>
  <c r="AT524" i="5"/>
  <c r="AT551" i="5"/>
  <c r="AT463" i="5"/>
  <c r="AT520" i="5"/>
  <c r="AT541" i="5"/>
  <c r="AT441" i="5"/>
  <c r="AT484" i="5"/>
  <c r="AT533" i="5"/>
  <c r="AT532" i="5"/>
  <c r="AT365" i="5"/>
  <c r="AT413" i="5"/>
  <c r="AT432" i="5"/>
  <c r="AT511" i="5"/>
  <c r="AT556" i="5"/>
  <c r="AT446" i="5"/>
  <c r="AT503" i="5"/>
  <c r="AT538" i="5"/>
  <c r="AT80" i="5"/>
  <c r="AT108" i="5"/>
  <c r="AT137" i="5"/>
  <c r="AT170" i="5"/>
  <c r="AT227" i="5"/>
  <c r="AT236" i="5"/>
  <c r="AT203" i="5"/>
  <c r="AT253" i="5"/>
  <c r="AT343" i="5"/>
  <c r="AT374" i="5"/>
  <c r="AT433" i="5"/>
  <c r="AT367" i="5"/>
  <c r="AT339" i="5"/>
  <c r="AT414" i="5"/>
  <c r="AT431" i="5"/>
  <c r="AT508" i="5"/>
  <c r="AT434" i="5"/>
  <c r="AT464" i="5"/>
  <c r="AT497" i="5"/>
  <c r="AT363" i="5"/>
  <c r="AT462" i="5"/>
  <c r="AT498" i="5"/>
  <c r="AT531" i="5"/>
  <c r="AT557" i="5"/>
  <c r="AT476" i="5"/>
  <c r="AT528" i="5"/>
  <c r="AT542" i="5"/>
  <c r="AT444" i="5"/>
  <c r="AT495" i="5"/>
  <c r="AT545" i="5"/>
  <c r="AT536" i="5"/>
  <c r="AT377" i="5"/>
  <c r="AT426" i="5"/>
  <c r="AT454" i="5"/>
  <c r="AT523" i="5"/>
  <c r="AT558" i="5"/>
  <c r="AT449" i="5"/>
  <c r="AT521" i="5"/>
  <c r="AT544" i="5"/>
  <c r="AT76" i="5"/>
  <c r="AT207" i="5"/>
  <c r="AT354" i="5"/>
  <c r="AT353" i="5"/>
  <c r="AT442" i="5"/>
  <c r="AT471" i="5"/>
  <c r="AT482" i="5"/>
  <c r="AT519" i="5"/>
  <c r="AT428" i="5"/>
  <c r="AT470" i="5"/>
  <c r="AT35" i="5"/>
  <c r="AT281" i="5"/>
  <c r="AT522" i="5"/>
  <c r="AT204" i="5"/>
  <c r="AT389" i="5"/>
  <c r="AT132" i="5"/>
  <c r="AT254" i="5"/>
  <c r="AT394" i="5"/>
  <c r="AT256" i="5"/>
  <c r="AT475" i="5"/>
  <c r="AT505" i="5"/>
  <c r="AT535" i="5"/>
  <c r="AT552" i="5"/>
  <c r="AT461" i="5"/>
  <c r="AT527" i="5"/>
  <c r="AT123" i="5"/>
  <c r="AT266" i="5"/>
  <c r="AT226" i="5"/>
  <c r="AT450" i="5"/>
  <c r="AT515" i="5"/>
  <c r="AT546" i="5"/>
  <c r="AT547" i="5"/>
  <c r="AT540" i="5"/>
  <c r="AT529" i="5"/>
  <c r="AT19" i="5"/>
  <c r="AT155" i="5"/>
  <c r="AT381" i="5"/>
  <c r="AT423" i="5"/>
  <c r="AT455" i="5"/>
  <c r="AT560" i="5"/>
  <c r="AV56" i="5"/>
  <c r="AU56" i="5"/>
  <c r="AU46" i="5"/>
  <c r="AU36" i="5"/>
  <c r="AV36" i="5"/>
  <c r="AV37" i="5"/>
  <c r="AU37" i="5"/>
  <c r="AZ7" i="5"/>
  <c r="AZ344" i="5"/>
  <c r="AZ302" i="5"/>
  <c r="AZ227" i="5"/>
  <c r="BB227" i="5" s="1"/>
  <c r="AZ256" i="5"/>
  <c r="BB256" i="5" s="1"/>
  <c r="AZ282" i="5"/>
  <c r="AZ240" i="5"/>
  <c r="AZ235" i="5"/>
  <c r="BB235" i="5" s="1"/>
  <c r="AZ236" i="5"/>
  <c r="BB236" i="5" s="1"/>
  <c r="AZ118" i="5"/>
  <c r="BA118" i="5" s="1"/>
  <c r="AZ115" i="5"/>
  <c r="AZ169" i="5"/>
  <c r="BA169" i="5" s="1"/>
  <c r="AZ107" i="5"/>
  <c r="BB107" i="5" s="1"/>
  <c r="AZ111" i="5"/>
  <c r="AZ103" i="5"/>
  <c r="AZ83" i="5"/>
  <c r="BA83" i="5" s="1"/>
  <c r="AZ53" i="5"/>
  <c r="BA53" i="5" s="1"/>
  <c r="AZ39" i="5"/>
  <c r="AZ38" i="5"/>
  <c r="AZ8" i="5"/>
  <c r="BA8" i="5" s="1"/>
  <c r="AZ373" i="5"/>
  <c r="BB373" i="5" s="1"/>
  <c r="AZ351" i="5"/>
  <c r="BB351" i="5" s="1"/>
  <c r="AZ309" i="5"/>
  <c r="AZ241" i="5"/>
  <c r="BA241" i="5" s="1"/>
  <c r="AZ269" i="5"/>
  <c r="BA269" i="5" s="1"/>
  <c r="AZ288" i="5"/>
  <c r="AZ191" i="5"/>
  <c r="AZ242" i="5"/>
  <c r="BB242" i="5" s="1"/>
  <c r="AZ179" i="5"/>
  <c r="BA179" i="5" s="1"/>
  <c r="AZ136" i="5"/>
  <c r="AZ134" i="5"/>
  <c r="AZ177" i="5"/>
  <c r="BA177" i="5" s="1"/>
  <c r="AZ119" i="5"/>
  <c r="BB119" i="5" s="1"/>
  <c r="AZ117" i="5"/>
  <c r="BB117" i="5" s="1"/>
  <c r="AZ94" i="5"/>
  <c r="AZ89" i="5"/>
  <c r="BB89" i="5" s="1"/>
  <c r="AZ75" i="5"/>
  <c r="BB75" i="5" s="1"/>
  <c r="AZ52" i="5"/>
  <c r="AZ44" i="5"/>
  <c r="AZ34" i="5"/>
  <c r="BA34" i="5" s="1"/>
  <c r="AZ206" i="5"/>
  <c r="BB206" i="5" s="1"/>
  <c r="AZ314" i="5"/>
  <c r="AZ251" i="5"/>
  <c r="AZ284" i="5"/>
  <c r="BA284" i="5" s="1"/>
  <c r="AZ300" i="5"/>
  <c r="BB300" i="5" s="1"/>
  <c r="AZ223" i="5"/>
  <c r="BA223" i="5" s="1"/>
  <c r="AZ178" i="5"/>
  <c r="AZ195" i="5"/>
  <c r="BA195" i="5" s="1"/>
  <c r="AZ174" i="5"/>
  <c r="BB174" i="5" s="1"/>
  <c r="AZ156" i="5"/>
  <c r="AZ141" i="5"/>
  <c r="AZ137" i="5"/>
  <c r="BA137" i="5" s="1"/>
  <c r="AZ125" i="5"/>
  <c r="BB125" i="5" s="1"/>
  <c r="AZ114" i="5"/>
  <c r="AZ92" i="5"/>
  <c r="AZ47" i="5"/>
  <c r="BB47" i="5" s="1"/>
  <c r="AZ51" i="5"/>
  <c r="BB51" i="5" s="1"/>
  <c r="AZ32" i="5"/>
  <c r="BB32" i="5" s="1"/>
  <c r="AZ45" i="5"/>
  <c r="AZ326" i="5"/>
  <c r="BA326" i="5" s="1"/>
  <c r="AZ274" i="5"/>
  <c r="BB274" i="5" s="1"/>
  <c r="AZ219" i="5"/>
  <c r="AZ197" i="5"/>
  <c r="AZ132" i="5"/>
  <c r="BB132" i="5" s="1"/>
  <c r="AZ81" i="5"/>
  <c r="BB81" i="5" s="1"/>
  <c r="AZ80" i="5"/>
  <c r="AZ70" i="5"/>
  <c r="AZ68" i="5"/>
  <c r="BA68" i="5" s="1"/>
  <c r="AZ43" i="5"/>
  <c r="BA43" i="5" s="1"/>
  <c r="O12" i="5"/>
  <c r="T12" i="5" s="1"/>
  <c r="AZ352" i="5"/>
  <c r="AZ339" i="5"/>
  <c r="BB339" i="5" s="1"/>
  <c r="AZ295" i="5"/>
  <c r="BA295" i="5" s="1"/>
  <c r="AZ188" i="5"/>
  <c r="AZ247" i="5"/>
  <c r="AZ279" i="5"/>
  <c r="BB279" i="5" s="1"/>
  <c r="AZ237" i="5"/>
  <c r="BA237" i="5" s="1"/>
  <c r="AZ226" i="5"/>
  <c r="AZ230" i="5"/>
  <c r="AZ201" i="5"/>
  <c r="BA201" i="5" s="1"/>
  <c r="AZ180" i="5"/>
  <c r="BB180" i="5" s="1"/>
  <c r="AZ163" i="5"/>
  <c r="BA163" i="5" s="1"/>
  <c r="AZ154" i="5"/>
  <c r="AZ100" i="5"/>
  <c r="BA100" i="5" s="1"/>
  <c r="AZ86" i="5"/>
  <c r="BA86" i="5" s="1"/>
  <c r="AZ84" i="5"/>
  <c r="AZ78" i="5"/>
  <c r="AZ21" i="5"/>
  <c r="BA21" i="5" s="1"/>
  <c r="AZ30" i="5"/>
  <c r="BA30" i="5" s="1"/>
  <c r="AZ369" i="5"/>
  <c r="AZ346" i="5"/>
  <c r="AZ306" i="5"/>
  <c r="BA306" i="5" s="1"/>
  <c r="AZ232" i="5"/>
  <c r="BB232" i="5" s="1"/>
  <c r="AZ262" i="5"/>
  <c r="BA262" i="5" s="1"/>
  <c r="AZ285" i="5"/>
  <c r="BB285" i="5" s="1"/>
  <c r="AZ189" i="5"/>
  <c r="BA189" i="5" s="1"/>
  <c r="AZ238" i="5"/>
  <c r="BB238" i="5" s="1"/>
  <c r="AZ243" i="5"/>
  <c r="AZ130" i="5"/>
  <c r="AZ122" i="5"/>
  <c r="BB122" i="5" s="1"/>
  <c r="AZ175" i="5"/>
  <c r="BA175" i="5" s="1"/>
  <c r="AZ113" i="5"/>
  <c r="AZ112" i="5"/>
  <c r="AZ109" i="5"/>
  <c r="BA109" i="5" s="1"/>
  <c r="AZ88" i="5"/>
  <c r="BB88" i="5" s="1"/>
  <c r="AZ71" i="5"/>
  <c r="BA71" i="5" s="1"/>
  <c r="AZ48" i="5"/>
  <c r="BB48" i="5" s="1"/>
  <c r="AZ41" i="5"/>
  <c r="BB41" i="5" s="1"/>
  <c r="AZ29" i="5"/>
  <c r="BA29" i="5" s="1"/>
  <c r="AZ332" i="5"/>
  <c r="AZ283" i="5"/>
  <c r="AZ157" i="5"/>
  <c r="BB157" i="5" s="1"/>
  <c r="AZ231" i="5"/>
  <c r="BA231" i="5" s="1"/>
  <c r="AZ221" i="5"/>
  <c r="AZ172" i="5"/>
  <c r="AZ147" i="5"/>
  <c r="BA147" i="5" s="1"/>
  <c r="AZ105" i="5"/>
  <c r="BA105" i="5" s="1"/>
  <c r="AZ322" i="5"/>
  <c r="BA322" i="5" s="1"/>
  <c r="AZ263" i="5"/>
  <c r="BA263" i="5" s="1"/>
  <c r="AZ298" i="5"/>
  <c r="BA298" i="5" s="1"/>
  <c r="AZ313" i="5"/>
  <c r="BA313" i="5" s="1"/>
  <c r="AZ261" i="5"/>
  <c r="AZ199" i="5"/>
  <c r="AZ210" i="5"/>
  <c r="BA210" i="5" s="1"/>
  <c r="AZ208" i="5"/>
  <c r="BA208" i="5" s="1"/>
  <c r="AZ168" i="5"/>
  <c r="AZ159" i="5"/>
  <c r="AZ145" i="5"/>
  <c r="BA145" i="5" s="1"/>
  <c r="AZ133" i="5"/>
  <c r="BA133" i="5" s="1"/>
  <c r="AZ131" i="5"/>
  <c r="BA131" i="5" s="1"/>
  <c r="AZ97" i="5"/>
  <c r="BA97" i="5" s="1"/>
  <c r="AZ65" i="5"/>
  <c r="BB65" i="5" s="1"/>
  <c r="AZ61" i="5"/>
  <c r="BB61" i="5" s="1"/>
  <c r="AZ56" i="5"/>
  <c r="AZ26" i="5"/>
  <c r="AZ411" i="5"/>
  <c r="BB411" i="5" s="1"/>
  <c r="AZ316" i="5"/>
  <c r="BA316" i="5" s="1"/>
  <c r="AZ329" i="5"/>
  <c r="AZ268" i="5"/>
  <c r="AZ317" i="5"/>
  <c r="BB317" i="5" s="1"/>
  <c r="AZ323" i="5"/>
  <c r="BA323" i="5" s="1"/>
  <c r="AZ266" i="5"/>
  <c r="BB266" i="5" s="1"/>
  <c r="AZ202" i="5"/>
  <c r="BB202" i="5" s="1"/>
  <c r="AZ214" i="5"/>
  <c r="BB214" i="5" s="1"/>
  <c r="AZ213" i="5"/>
  <c r="BB213" i="5" s="1"/>
  <c r="AZ183" i="5"/>
  <c r="AZ166" i="5"/>
  <c r="AZ101" i="5"/>
  <c r="BA101" i="5" s="1"/>
  <c r="AZ138" i="5"/>
  <c r="BA138" i="5" s="1"/>
  <c r="AZ144" i="5"/>
  <c r="AZ74" i="5"/>
  <c r="AZ76" i="5"/>
  <c r="BB76" i="5" s="1"/>
  <c r="AZ54" i="5"/>
  <c r="BB54" i="5" s="1"/>
  <c r="AZ64" i="5"/>
  <c r="BB64" i="5" s="1"/>
  <c r="AZ31" i="5"/>
  <c r="BB31" i="5" s="1"/>
  <c r="AZ338" i="5"/>
  <c r="BA338" i="5" s="1"/>
  <c r="AZ337" i="5"/>
  <c r="BA337" i="5" s="1"/>
  <c r="AZ287" i="5"/>
  <c r="AZ331" i="5"/>
  <c r="AZ207" i="5"/>
  <c r="BA207" i="5" s="1"/>
  <c r="AZ276" i="5"/>
  <c r="BA276" i="5" s="1"/>
  <c r="AZ234" i="5"/>
  <c r="AZ222" i="5"/>
  <c r="AZ225" i="5"/>
  <c r="BA225" i="5" s="1"/>
  <c r="AZ198" i="5"/>
  <c r="BB198" i="5" s="1"/>
  <c r="AZ176" i="5"/>
  <c r="BB176" i="5" s="1"/>
  <c r="AZ160" i="5"/>
  <c r="BA160" i="5" s="1"/>
  <c r="AZ149" i="5"/>
  <c r="BB149" i="5" s="1"/>
  <c r="AZ85" i="5"/>
  <c r="BB85" i="5" s="1"/>
  <c r="AZ108" i="5"/>
  <c r="AZ82" i="5"/>
  <c r="AZ72" i="5"/>
  <c r="BA72" i="5" s="1"/>
  <c r="AZ73" i="5"/>
  <c r="BA73" i="5" s="1"/>
  <c r="U287" i="5"/>
  <c r="AV314" i="5"/>
  <c r="AU314" i="5"/>
  <c r="AV221" i="5"/>
  <c r="AU221" i="5"/>
  <c r="AU160" i="5"/>
  <c r="AV160" i="5"/>
  <c r="AU234" i="5"/>
  <c r="AV234" i="5"/>
  <c r="AV181" i="5"/>
  <c r="AV173" i="5"/>
  <c r="AU173" i="5"/>
  <c r="AU126" i="5"/>
  <c r="AV126" i="5"/>
  <c r="AV87" i="5"/>
  <c r="AU87" i="5"/>
  <c r="AU31" i="5"/>
  <c r="AV31" i="5"/>
  <c r="AJ172" i="5"/>
  <c r="AV250" i="5"/>
  <c r="AU250" i="5"/>
  <c r="AU301" i="5"/>
  <c r="AV301" i="5"/>
  <c r="AV251" i="5"/>
  <c r="AU251" i="5"/>
  <c r="AU195" i="5"/>
  <c r="AV195" i="5"/>
  <c r="AV164" i="5"/>
  <c r="AU164" i="5"/>
  <c r="AV199" i="5"/>
  <c r="AU199" i="5"/>
  <c r="AV133" i="5"/>
  <c r="AU133" i="5"/>
  <c r="AU187" i="5"/>
  <c r="AV187" i="5"/>
  <c r="AV110" i="5"/>
  <c r="AU110" i="5"/>
  <c r="AV92" i="5"/>
  <c r="AU92" i="5"/>
  <c r="AU55" i="5"/>
  <c r="AV55" i="5"/>
  <c r="AV65" i="5"/>
  <c r="AU65" i="5"/>
  <c r="AV47" i="5"/>
  <c r="AU47" i="5"/>
  <c r="AU307" i="5"/>
  <c r="AV307" i="5"/>
  <c r="AV200" i="5"/>
  <c r="AU200" i="5"/>
  <c r="AU282" i="5"/>
  <c r="AV282" i="5"/>
  <c r="AU322" i="5"/>
  <c r="AV322" i="5"/>
  <c r="AU265" i="5"/>
  <c r="AV265" i="5"/>
  <c r="AV230" i="5"/>
  <c r="AU230" i="5"/>
  <c r="AU224" i="5"/>
  <c r="AV224" i="5"/>
  <c r="AU163" i="5"/>
  <c r="AV163" i="5"/>
  <c r="AU150" i="5"/>
  <c r="AV150" i="5"/>
  <c r="AU122" i="5"/>
  <c r="AV122" i="5"/>
  <c r="AU71" i="5"/>
  <c r="AV71" i="5"/>
  <c r="AV88" i="5"/>
  <c r="AU88" i="5"/>
  <c r="AU90" i="5"/>
  <c r="AV90" i="5"/>
  <c r="AU63" i="5"/>
  <c r="AV63" i="5"/>
  <c r="AU53" i="5"/>
  <c r="AV53" i="5"/>
  <c r="AU21" i="5"/>
  <c r="AV21" i="5"/>
  <c r="B142" i="2"/>
  <c r="B144" i="2" s="1"/>
  <c r="H58" i="1" s="1"/>
  <c r="B62" i="5"/>
  <c r="AU257" i="5"/>
  <c r="AV257" i="5"/>
  <c r="AV211" i="5"/>
  <c r="AU211" i="5"/>
  <c r="AU176" i="5"/>
  <c r="AV176" i="5"/>
  <c r="AU131" i="5"/>
  <c r="AV131" i="5"/>
  <c r="AU135" i="5"/>
  <c r="AV135" i="5"/>
  <c r="AU118" i="5"/>
  <c r="AV118" i="5"/>
  <c r="AV141" i="5"/>
  <c r="AU141" i="5"/>
  <c r="AU78" i="5"/>
  <c r="AU23" i="5"/>
  <c r="AV23" i="5"/>
  <c r="AV25" i="5"/>
  <c r="AU25" i="5"/>
  <c r="AU335" i="5"/>
  <c r="AV335" i="5"/>
  <c r="AU259" i="5"/>
  <c r="AV259" i="5"/>
  <c r="AU297" i="5"/>
  <c r="AV297" i="5"/>
  <c r="AU205" i="5"/>
  <c r="AV205" i="5"/>
  <c r="AV280" i="5"/>
  <c r="AU280" i="5"/>
  <c r="AV238" i="5"/>
  <c r="AU238" i="5"/>
  <c r="AV243" i="5"/>
  <c r="AU243" i="5"/>
  <c r="AV138" i="5"/>
  <c r="AU138" i="5"/>
  <c r="AU83" i="5"/>
  <c r="AV83" i="5"/>
  <c r="AU22" i="5"/>
  <c r="AV22" i="5"/>
  <c r="AV64" i="5"/>
  <c r="AU64" i="5"/>
  <c r="AJ166" i="5"/>
  <c r="AJ7" i="5"/>
  <c r="AJ109" i="5"/>
  <c r="AL109" i="5" s="1"/>
  <c r="AJ121" i="5"/>
  <c r="AL121" i="5" s="1"/>
  <c r="V242" i="5"/>
  <c r="AU32" i="5"/>
  <c r="AV299" i="5"/>
  <c r="AU299" i="5"/>
  <c r="AU210" i="5"/>
  <c r="AV210" i="5"/>
  <c r="AU283" i="5"/>
  <c r="AV283" i="5"/>
  <c r="AV240" i="5"/>
  <c r="AU240" i="5"/>
  <c r="AV159" i="5"/>
  <c r="AU159" i="5"/>
  <c r="AU239" i="5"/>
  <c r="AV239" i="5"/>
  <c r="AU190" i="5"/>
  <c r="AV190" i="5"/>
  <c r="AV182" i="5"/>
  <c r="AU182" i="5"/>
  <c r="AU177" i="5"/>
  <c r="AV177" i="5"/>
  <c r="AU139" i="5"/>
  <c r="AV139" i="5"/>
  <c r="AV96" i="5"/>
  <c r="AU96" i="5"/>
  <c r="AU69" i="5"/>
  <c r="AV69" i="5"/>
  <c r="AV41" i="5"/>
  <c r="AU41" i="5"/>
  <c r="AU34" i="5"/>
  <c r="AV34" i="5"/>
  <c r="AU291" i="5"/>
  <c r="AV291" i="5"/>
  <c r="AU327" i="5"/>
  <c r="AV327" i="5"/>
  <c r="AV270" i="5"/>
  <c r="AU270" i="5"/>
  <c r="AV312" i="5"/>
  <c r="AU312" i="5"/>
  <c r="AV255" i="5"/>
  <c r="AU255" i="5"/>
  <c r="AU217" i="5"/>
  <c r="AV217" i="5"/>
  <c r="AU157" i="5"/>
  <c r="AV157" i="5"/>
  <c r="AV128" i="5"/>
  <c r="AU128" i="5"/>
  <c r="AU129" i="5"/>
  <c r="AV129" i="5"/>
  <c r="AV109" i="5"/>
  <c r="AU109" i="5"/>
  <c r="AV136" i="5"/>
  <c r="AU136" i="5"/>
  <c r="AV75" i="5"/>
  <c r="AU75" i="5"/>
  <c r="AU77" i="5"/>
  <c r="AV77" i="5"/>
  <c r="AU20" i="5"/>
  <c r="AV20" i="5"/>
  <c r="AV51" i="5"/>
  <c r="AU51" i="5"/>
  <c r="AV8" i="5"/>
  <c r="AU8" i="5"/>
  <c r="AJ43" i="5"/>
  <c r="V484" i="5"/>
  <c r="AU237" i="5"/>
  <c r="AV237" i="5"/>
  <c r="AU286" i="5"/>
  <c r="AV286" i="5"/>
  <c r="AV324" i="5"/>
  <c r="AU324" i="5"/>
  <c r="AV273" i="5"/>
  <c r="AU273" i="5"/>
  <c r="AU233" i="5"/>
  <c r="AV233" i="5"/>
  <c r="AU229" i="5"/>
  <c r="AV229" i="5"/>
  <c r="AU218" i="5"/>
  <c r="AV218" i="5"/>
  <c r="AV175" i="5"/>
  <c r="AU175" i="5"/>
  <c r="AV165" i="5"/>
  <c r="AU165" i="5"/>
  <c r="AV153" i="5"/>
  <c r="AU153" i="5"/>
  <c r="AU130" i="5"/>
  <c r="AV130" i="5"/>
  <c r="AV89" i="5"/>
  <c r="AU89" i="5"/>
  <c r="AV91" i="5"/>
  <c r="AU91" i="5"/>
  <c r="AV93" i="5"/>
  <c r="AU93" i="5"/>
  <c r="AV66" i="5"/>
  <c r="AU66" i="5"/>
  <c r="AU54" i="5"/>
  <c r="AV54" i="5"/>
  <c r="AU39" i="5"/>
  <c r="AV39" i="5"/>
  <c r="AU271" i="5"/>
  <c r="AV271" i="5"/>
  <c r="AU311" i="5"/>
  <c r="AV311" i="5"/>
  <c r="AU246" i="5"/>
  <c r="AV246" i="5"/>
  <c r="AV295" i="5"/>
  <c r="AU295" i="5"/>
  <c r="AU249" i="5"/>
  <c r="AV249" i="5"/>
  <c r="AU248" i="5"/>
  <c r="AV248" i="5"/>
  <c r="AU198" i="5"/>
  <c r="AV198" i="5"/>
  <c r="AV111" i="5"/>
  <c r="AU111" i="5"/>
  <c r="AV183" i="5"/>
  <c r="AU183" i="5"/>
  <c r="AV84" i="5"/>
  <c r="AU84" i="5"/>
  <c r="AU156" i="5"/>
  <c r="AV156" i="5"/>
  <c r="AV115" i="5"/>
  <c r="AU115" i="5"/>
  <c r="AV102" i="5"/>
  <c r="AU102" i="5"/>
  <c r="AU52" i="5"/>
  <c r="AV52" i="5"/>
  <c r="AU62" i="5"/>
  <c r="AV62" i="5"/>
  <c r="AU43" i="5"/>
  <c r="AV43" i="5"/>
  <c r="AV24" i="5"/>
  <c r="AU24" i="5"/>
  <c r="AV29" i="5"/>
  <c r="AU29" i="5"/>
  <c r="AV30" i="5"/>
  <c r="AU30" i="5"/>
  <c r="AV38" i="5"/>
  <c r="AU38" i="5"/>
  <c r="AU44" i="5"/>
  <c r="AV44" i="5"/>
  <c r="AZ25" i="5"/>
  <c r="AZ42" i="5"/>
  <c r="AZ58" i="5"/>
  <c r="AZ62" i="5"/>
  <c r="AZ96" i="5"/>
  <c r="AZ129" i="5"/>
  <c r="AZ128" i="5"/>
  <c r="AZ142" i="5"/>
  <c r="AZ153" i="5"/>
  <c r="AZ162" i="5"/>
  <c r="AZ205" i="5"/>
  <c r="AZ204" i="5"/>
  <c r="AZ186" i="5"/>
  <c r="AZ259" i="5"/>
  <c r="AZ307" i="5"/>
  <c r="AZ294" i="5"/>
  <c r="AZ257" i="5"/>
  <c r="AZ320" i="5"/>
  <c r="AZ358" i="5"/>
  <c r="AZ335" i="5"/>
  <c r="AZ383" i="5"/>
  <c r="AZ410" i="5"/>
  <c r="AZ428" i="5"/>
  <c r="AZ440" i="5"/>
  <c r="AZ277" i="5"/>
  <c r="AZ345" i="5"/>
  <c r="AZ361" i="5"/>
  <c r="AZ375" i="5"/>
  <c r="AZ386" i="5"/>
  <c r="AZ399" i="5"/>
  <c r="AZ417" i="5"/>
  <c r="AZ245" i="5"/>
  <c r="AZ280" i="5"/>
  <c r="AZ333" i="5"/>
  <c r="AZ342" i="5"/>
  <c r="AZ364" i="5"/>
  <c r="AZ378" i="5"/>
  <c r="AZ398" i="5"/>
  <c r="AZ416" i="5"/>
  <c r="AZ368" i="5"/>
  <c r="AZ452" i="5"/>
  <c r="AZ460" i="5"/>
  <c r="AZ478" i="5"/>
  <c r="AZ504" i="5"/>
  <c r="AZ531" i="5"/>
  <c r="AZ382" i="5"/>
  <c r="AZ403" i="5"/>
  <c r="AZ429" i="5"/>
  <c r="AZ461" i="5"/>
  <c r="AZ468" i="5"/>
  <c r="AZ480" i="5"/>
  <c r="AZ507" i="5"/>
  <c r="AZ516" i="5"/>
  <c r="AZ353" i="5"/>
  <c r="AZ405" i="5"/>
  <c r="AZ441" i="5"/>
  <c r="AZ453" i="5"/>
  <c r="AZ466" i="5"/>
  <c r="AZ479" i="5"/>
  <c r="AZ488" i="5"/>
  <c r="AZ494" i="5"/>
  <c r="AZ502" i="5"/>
  <c r="AZ509" i="5"/>
  <c r="AZ522" i="5"/>
  <c r="AZ545" i="5"/>
  <c r="AZ229" i="5"/>
  <c r="AZ425" i="5"/>
  <c r="AZ513" i="5"/>
  <c r="AZ529" i="5"/>
  <c r="AZ548" i="5"/>
  <c r="AZ558" i="5"/>
  <c r="AZ448" i="5"/>
  <c r="AZ544" i="5"/>
  <c r="AZ407" i="5"/>
  <c r="AZ501" i="5"/>
  <c r="AZ541" i="5"/>
  <c r="AZ559" i="5"/>
  <c r="AZ464" i="5"/>
  <c r="AZ19" i="5"/>
  <c r="AZ37" i="5"/>
  <c r="AZ67" i="5"/>
  <c r="AZ57" i="5"/>
  <c r="AZ77" i="5"/>
  <c r="AZ102" i="5"/>
  <c r="AZ151" i="5"/>
  <c r="AZ146" i="5"/>
  <c r="AZ104" i="5"/>
  <c r="AZ170" i="5"/>
  <c r="AZ187" i="5"/>
  <c r="AZ216" i="5"/>
  <c r="AZ217" i="5"/>
  <c r="AZ215" i="5"/>
  <c r="AZ271" i="5"/>
  <c r="AZ327" i="5"/>
  <c r="AZ321" i="5"/>
  <c r="AZ275" i="5"/>
  <c r="AZ330" i="5"/>
  <c r="AZ224" i="5"/>
  <c r="AZ360" i="5"/>
  <c r="AZ385" i="5"/>
  <c r="AZ414" i="5"/>
  <c r="AZ431" i="5"/>
  <c r="AZ250" i="5"/>
  <c r="AZ293" i="5"/>
  <c r="AZ350" i="5"/>
  <c r="AZ363" i="5"/>
  <c r="AZ377" i="5"/>
  <c r="AZ389" i="5"/>
  <c r="AZ402" i="5"/>
  <c r="AZ418" i="5"/>
  <c r="AZ254" i="5"/>
  <c r="AZ286" i="5"/>
  <c r="AZ336" i="5"/>
  <c r="AZ348" i="5"/>
  <c r="AZ366" i="5"/>
  <c r="AZ379" i="5"/>
  <c r="AZ400" i="5"/>
  <c r="AZ311" i="5"/>
  <c r="AZ401" i="5"/>
  <c r="AZ457" i="5"/>
  <c r="AZ471" i="5"/>
  <c r="AZ490" i="5"/>
  <c r="AZ515" i="5"/>
  <c r="AZ532" i="5"/>
  <c r="AZ391" i="5"/>
  <c r="AZ412" i="5"/>
  <c r="AZ439" i="5"/>
  <c r="AZ462" i="5"/>
  <c r="AZ470" i="5"/>
  <c r="AZ484" i="5"/>
  <c r="AZ511" i="5"/>
  <c r="AZ519" i="5"/>
  <c r="AZ381" i="5"/>
  <c r="AZ430" i="5"/>
  <c r="AZ443" i="5"/>
  <c r="AZ454" i="5"/>
  <c r="AZ469" i="5"/>
  <c r="AZ482" i="5"/>
  <c r="AZ489" i="5"/>
  <c r="AZ495" i="5"/>
  <c r="AZ503" i="5"/>
  <c r="AZ510" i="5"/>
  <c r="AZ523" i="5"/>
  <c r="AZ554" i="5"/>
  <c r="AZ297" i="5"/>
  <c r="AZ449" i="5"/>
  <c r="AZ517" i="5"/>
  <c r="AZ534" i="5"/>
  <c r="AZ553" i="5"/>
  <c r="AZ433" i="5"/>
  <c r="AZ524" i="5"/>
  <c r="AZ549" i="5"/>
  <c r="AZ424" i="5"/>
  <c r="AZ528" i="5"/>
  <c r="AZ542" i="5"/>
  <c r="AZ372" i="5"/>
  <c r="AZ483" i="5"/>
  <c r="AZ33" i="5"/>
  <c r="AZ28" i="5"/>
  <c r="AZ49" i="5"/>
  <c r="AZ93" i="5"/>
  <c r="AZ87" i="5"/>
  <c r="AZ106" i="5"/>
  <c r="AZ155" i="5"/>
  <c r="AZ167" i="5"/>
  <c r="AZ185" i="5"/>
  <c r="AZ203" i="5"/>
  <c r="AZ233" i="5"/>
  <c r="AZ228" i="5"/>
  <c r="AZ239" i="5"/>
  <c r="AZ281" i="5"/>
  <c r="AZ253" i="5"/>
  <c r="AZ192" i="5"/>
  <c r="AZ301" i="5"/>
  <c r="AZ343" i="5"/>
  <c r="AZ258" i="5"/>
  <c r="AZ367" i="5"/>
  <c r="AZ404" i="5"/>
  <c r="AZ420" i="5"/>
  <c r="AZ435" i="5"/>
  <c r="AZ252" i="5"/>
  <c r="AZ304" i="5"/>
  <c r="AZ356" i="5"/>
  <c r="AZ365" i="5"/>
  <c r="AZ380" i="5"/>
  <c r="AZ390" i="5"/>
  <c r="AZ408" i="5"/>
  <c r="AZ419" i="5"/>
  <c r="AZ267" i="5"/>
  <c r="AZ289" i="5"/>
  <c r="AZ340" i="5"/>
  <c r="AZ349" i="5"/>
  <c r="AZ371" i="5"/>
  <c r="AZ388" i="5"/>
  <c r="AZ406" i="5"/>
  <c r="AZ354" i="5"/>
  <c r="AZ422" i="5"/>
  <c r="AZ458" i="5"/>
  <c r="AZ472" i="5"/>
  <c r="AZ496" i="5"/>
  <c r="AZ525" i="5"/>
  <c r="AZ270" i="5"/>
  <c r="AZ394" i="5"/>
  <c r="AZ426" i="5"/>
  <c r="AZ446" i="5"/>
  <c r="AZ465" i="5"/>
  <c r="AZ474" i="5"/>
  <c r="AZ498" i="5"/>
  <c r="AZ512" i="5"/>
  <c r="AZ308" i="5"/>
  <c r="AZ387" i="5"/>
  <c r="AZ432" i="5"/>
  <c r="AZ444" i="5"/>
  <c r="AZ455" i="5"/>
  <c r="AZ473" i="5"/>
  <c r="AZ486" i="5"/>
  <c r="AZ492" i="5"/>
  <c r="AZ499" i="5"/>
  <c r="AZ505" i="5"/>
  <c r="AZ518" i="5"/>
  <c r="AZ530" i="5"/>
  <c r="AZ555" i="5"/>
  <c r="AZ328" i="5"/>
  <c r="AZ456" i="5"/>
  <c r="AZ521" i="5"/>
  <c r="AZ536" i="5"/>
  <c r="AZ557" i="5"/>
  <c r="AZ437" i="5"/>
  <c r="AZ538" i="5"/>
  <c r="AZ550" i="5"/>
  <c r="AZ481" i="5"/>
  <c r="AZ533" i="5"/>
  <c r="AZ547" i="5"/>
  <c r="AZ438" i="5"/>
  <c r="AZ537" i="5"/>
  <c r="AZ36" i="5"/>
  <c r="AZ46" i="5"/>
  <c r="AZ63" i="5"/>
  <c r="AZ79" i="5"/>
  <c r="AZ90" i="5"/>
  <c r="AZ99" i="5"/>
  <c r="AZ120" i="5"/>
  <c r="AZ124" i="5"/>
  <c r="AZ181" i="5"/>
  <c r="AZ143" i="5"/>
  <c r="AZ165" i="5"/>
  <c r="AZ182" i="5"/>
  <c r="AZ244" i="5"/>
  <c r="AZ193" i="5"/>
  <c r="AZ291" i="5"/>
  <c r="AZ272" i="5"/>
  <c r="AZ248" i="5"/>
  <c r="AZ310" i="5"/>
  <c r="AZ357" i="5"/>
  <c r="AZ319" i="5"/>
  <c r="AZ376" i="5"/>
  <c r="AZ409" i="5"/>
  <c r="AZ423" i="5"/>
  <c r="AZ436" i="5"/>
  <c r="AZ260" i="5"/>
  <c r="AZ334" i="5"/>
  <c r="AZ359" i="5"/>
  <c r="AZ370" i="5"/>
  <c r="AZ384" i="5"/>
  <c r="AZ392" i="5"/>
  <c r="AZ413" i="5"/>
  <c r="AZ209" i="5"/>
  <c r="AZ273" i="5"/>
  <c r="AZ292" i="5"/>
  <c r="AZ341" i="5"/>
  <c r="AZ355" i="5"/>
  <c r="AZ374" i="5"/>
  <c r="AZ395" i="5"/>
  <c r="AZ415" i="5"/>
  <c r="AZ362" i="5"/>
  <c r="AZ442" i="5"/>
  <c r="AZ459" i="5"/>
  <c r="AZ475" i="5"/>
  <c r="AZ497" i="5"/>
  <c r="AZ526" i="5"/>
  <c r="AZ325" i="5"/>
  <c r="AZ397" i="5"/>
  <c r="AZ427" i="5"/>
  <c r="AZ447" i="5"/>
  <c r="AZ467" i="5"/>
  <c r="AZ477" i="5"/>
  <c r="AZ506" i="5"/>
  <c r="AZ514" i="5"/>
  <c r="AZ347" i="5"/>
  <c r="AZ396" i="5"/>
  <c r="AZ434" i="5"/>
  <c r="AZ451" i="5"/>
  <c r="AZ463" i="5"/>
  <c r="AZ476" i="5"/>
  <c r="AZ487" i="5"/>
  <c r="AZ493" i="5"/>
  <c r="AZ500" i="5"/>
  <c r="AZ508" i="5"/>
  <c r="AZ520" i="5"/>
  <c r="AZ539" i="5"/>
  <c r="AZ556" i="5"/>
  <c r="AZ421" i="5"/>
  <c r="AZ485" i="5"/>
  <c r="AZ527" i="5"/>
  <c r="AZ540" i="5"/>
  <c r="AZ560" i="5"/>
  <c r="AZ445" i="5"/>
  <c r="AZ543" i="5"/>
  <c r="AZ551" i="5"/>
  <c r="AZ491" i="5"/>
  <c r="AZ535" i="5"/>
  <c r="AZ552" i="5"/>
  <c r="AZ450" i="5"/>
  <c r="AZ546" i="5"/>
  <c r="AW26" i="5"/>
  <c r="AW48" i="5"/>
  <c r="AW33" i="5"/>
  <c r="AW46" i="5"/>
  <c r="AW32" i="5"/>
  <c r="AW45" i="5"/>
  <c r="AW34" i="5"/>
  <c r="AW59" i="5"/>
  <c r="AW36" i="5"/>
  <c r="AW54" i="5"/>
  <c r="AW65" i="5"/>
  <c r="AW40" i="5"/>
  <c r="AW58" i="5"/>
  <c r="AW83" i="5"/>
  <c r="AW70" i="5"/>
  <c r="AW81" i="5"/>
  <c r="AW99" i="5"/>
  <c r="AW84" i="5"/>
  <c r="AW95" i="5"/>
  <c r="AW107" i="5"/>
  <c r="AW111" i="5"/>
  <c r="AW120" i="5"/>
  <c r="AW135" i="5"/>
  <c r="AW152" i="5"/>
  <c r="AW115" i="5"/>
  <c r="AW130" i="5"/>
  <c r="AW141" i="5"/>
  <c r="AW157" i="5"/>
  <c r="AW102" i="5"/>
  <c r="AW114" i="5"/>
  <c r="AW131" i="5"/>
  <c r="AW147" i="5"/>
  <c r="AW155" i="5"/>
  <c r="AW164" i="5"/>
  <c r="AW176" i="5"/>
  <c r="AW156" i="5"/>
  <c r="AW183" i="5"/>
  <c r="AW170" i="5"/>
  <c r="AW188" i="5"/>
  <c r="AW205" i="5"/>
  <c r="AW148" i="5"/>
  <c r="AW195" i="5"/>
  <c r="AW214" i="5"/>
  <c r="AW226" i="5"/>
  <c r="AW240" i="5"/>
  <c r="AW197" i="5"/>
  <c r="AW231" i="5"/>
  <c r="AW169" i="5"/>
  <c r="AW187" i="5"/>
  <c r="AW198" i="5"/>
  <c r="AW216" i="5"/>
  <c r="AW224" i="5"/>
  <c r="AW241" i="5"/>
  <c r="AW233" i="5"/>
  <c r="AW253" i="5"/>
  <c r="AW272" i="5"/>
  <c r="AW294" i="5"/>
  <c r="AW310" i="5"/>
  <c r="AW329" i="5"/>
  <c r="AW225" i="5"/>
  <c r="AW251" i="5"/>
  <c r="AW263" i="5"/>
  <c r="AW280" i="5"/>
  <c r="AW295" i="5"/>
  <c r="AW312" i="5"/>
  <c r="AW322" i="5"/>
  <c r="AW213" i="5"/>
  <c r="AW252" i="5"/>
  <c r="AW270" i="5"/>
  <c r="AW282" i="5"/>
  <c r="AW297" i="5"/>
  <c r="AW311" i="5"/>
  <c r="AW328" i="5"/>
  <c r="AW347" i="5"/>
  <c r="AW246" i="5"/>
  <c r="AW313" i="5"/>
  <c r="AW345" i="5"/>
  <c r="AW357" i="5"/>
  <c r="AW370" i="5"/>
  <c r="AW380" i="5"/>
  <c r="AW392" i="5"/>
  <c r="AW413" i="5"/>
  <c r="AW427" i="5"/>
  <c r="AW271" i="5"/>
  <c r="AW341" i="5"/>
  <c r="O13" i="5"/>
  <c r="AJ13" i="5" s="1"/>
  <c r="AW22" i="5"/>
  <c r="AW31" i="5"/>
  <c r="AW20" i="5"/>
  <c r="AW38" i="5"/>
  <c r="AW21" i="5"/>
  <c r="AW35" i="5"/>
  <c r="AW52" i="5"/>
  <c r="AW51" i="5"/>
  <c r="AW61" i="5"/>
  <c r="AW47" i="5"/>
  <c r="AW56" i="5"/>
  <c r="AW71" i="5"/>
  <c r="AW60" i="5"/>
  <c r="AW68" i="5"/>
  <c r="AW88" i="5"/>
  <c r="AW72" i="5"/>
  <c r="AW85" i="5"/>
  <c r="AW101" i="5"/>
  <c r="AW89" i="5"/>
  <c r="AW96" i="5"/>
  <c r="AW97" i="5"/>
  <c r="AW112" i="5"/>
  <c r="AW125" i="5"/>
  <c r="AW138" i="5"/>
  <c r="AW158" i="5"/>
  <c r="AW116" i="5"/>
  <c r="AW132" i="5"/>
  <c r="AW143" i="5"/>
  <c r="AW64" i="5"/>
  <c r="AW105" i="5"/>
  <c r="AW121" i="5"/>
  <c r="AW133" i="5"/>
  <c r="AW150" i="5"/>
  <c r="AW113" i="5"/>
  <c r="AW166" i="5"/>
  <c r="AW180" i="5"/>
  <c r="AW173" i="5"/>
  <c r="AW119" i="5"/>
  <c r="AW171" i="5"/>
  <c r="AW191" i="5"/>
  <c r="AW207" i="5"/>
  <c r="AW160" i="5"/>
  <c r="AW203" i="5"/>
  <c r="AW217" i="5"/>
  <c r="AW228" i="5"/>
  <c r="AW242" i="5"/>
  <c r="AW199" i="5"/>
  <c r="AW234" i="5"/>
  <c r="AW172" i="5"/>
  <c r="AW189" i="5"/>
  <c r="AW201" i="5"/>
  <c r="AW218" i="5"/>
  <c r="AW227" i="5"/>
  <c r="AW163" i="5"/>
  <c r="AW236" i="5"/>
  <c r="AW256" i="5"/>
  <c r="AW278" i="5"/>
  <c r="AW298" i="5"/>
  <c r="AW317" i="5"/>
  <c r="AW330" i="5"/>
  <c r="AW230" i="5"/>
  <c r="AW254" i="5"/>
  <c r="AW265" i="5"/>
  <c r="AW283" i="5"/>
  <c r="AW301" i="5"/>
  <c r="AW314" i="5"/>
  <c r="AW324" i="5"/>
  <c r="AW221" i="5"/>
  <c r="AW258" i="5"/>
  <c r="AW273" i="5"/>
  <c r="AW286" i="5"/>
  <c r="AW299" i="5"/>
  <c r="AW316" i="5"/>
  <c r="AW333" i="5"/>
  <c r="AW353" i="5"/>
  <c r="AW281" i="5"/>
  <c r="AW327" i="5"/>
  <c r="AW346" i="5"/>
  <c r="AW359" i="5"/>
  <c r="AW371" i="5"/>
  <c r="AW384" i="5"/>
  <c r="AW399" i="5"/>
  <c r="AW416" i="5"/>
  <c r="AW8" i="5"/>
  <c r="AW23" i="5"/>
  <c r="AW37" i="5"/>
  <c r="AW29" i="5"/>
  <c r="AW41" i="5"/>
  <c r="AW24" i="5"/>
  <c r="AW39" i="5"/>
  <c r="AW63" i="5"/>
  <c r="AW53" i="5"/>
  <c r="AW66" i="5"/>
  <c r="AW49" i="5"/>
  <c r="AW57" i="5"/>
  <c r="AW75" i="5"/>
  <c r="AW76" i="5"/>
  <c r="AW73" i="5"/>
  <c r="AW91" i="5"/>
  <c r="AW82" i="5"/>
  <c r="AW93" i="5"/>
  <c r="AW104" i="5"/>
  <c r="AW90" i="5"/>
  <c r="AW98" i="5"/>
  <c r="AW103" i="5"/>
  <c r="AW117" i="5"/>
  <c r="AW126" i="5"/>
  <c r="AW146" i="5"/>
  <c r="AW161" i="5"/>
  <c r="AW122" i="5"/>
  <c r="AW134" i="5"/>
  <c r="AW145" i="5"/>
  <c r="AW80" i="5"/>
  <c r="AW108" i="5"/>
  <c r="AW123" i="5"/>
  <c r="AW140" i="5"/>
  <c r="AW151" i="5"/>
  <c r="AW139" i="5"/>
  <c r="AW168" i="5"/>
  <c r="AW185" i="5"/>
  <c r="AW178" i="5"/>
  <c r="AW137" i="5"/>
  <c r="AW182" i="5"/>
  <c r="AW196" i="5"/>
  <c r="AW124" i="5"/>
  <c r="AW162" i="5"/>
  <c r="AW204" i="5"/>
  <c r="AW219" i="5"/>
  <c r="AW235" i="5"/>
  <c r="AW244" i="5"/>
  <c r="AW202" i="5"/>
  <c r="AW237" i="5"/>
  <c r="AW175" i="5"/>
  <c r="AW192" i="5"/>
  <c r="AW206" i="5"/>
  <c r="AW220" i="5"/>
  <c r="AW229" i="5"/>
  <c r="AW208" i="5"/>
  <c r="AW243" i="5"/>
  <c r="AW262" i="5"/>
  <c r="AW284" i="5"/>
  <c r="AW302" i="5"/>
  <c r="AW321" i="5"/>
  <c r="AW331" i="5"/>
  <c r="AW248" i="5"/>
  <c r="AW255" i="5"/>
  <c r="AW268" i="5"/>
  <c r="AW287" i="5"/>
  <c r="AW306" i="5"/>
  <c r="AW315" i="5"/>
  <c r="AW332" i="5"/>
  <c r="AW245" i="5"/>
  <c r="AW260" i="5"/>
  <c r="AW276" i="5"/>
  <c r="AW289" i="5"/>
  <c r="AW304" i="5"/>
  <c r="AW319" i="5"/>
  <c r="AW334" i="5"/>
  <c r="AW355" i="5"/>
  <c r="AW296" i="5"/>
  <c r="AW337" i="5"/>
  <c r="AW350" i="5"/>
  <c r="AW363" i="5"/>
  <c r="AW377" i="5"/>
  <c r="AW389" i="5"/>
  <c r="AW408" i="5"/>
  <c r="AW419" i="5"/>
  <c r="AW434" i="5"/>
  <c r="AW25" i="5"/>
  <c r="AW43" i="5"/>
  <c r="AW30" i="5"/>
  <c r="AW44" i="5"/>
  <c r="AW28" i="5"/>
  <c r="AW42" i="5"/>
  <c r="AW69" i="5"/>
  <c r="AW55" i="5"/>
  <c r="AW27" i="5"/>
  <c r="AW50" i="5"/>
  <c r="AW62" i="5"/>
  <c r="AW79" i="5"/>
  <c r="AW77" i="5"/>
  <c r="AW74" i="5"/>
  <c r="AW67" i="5"/>
  <c r="AW78" i="5"/>
  <c r="AW94" i="5"/>
  <c r="AW109" i="5"/>
  <c r="AW92" i="5"/>
  <c r="AW100" i="5"/>
  <c r="AW106" i="5"/>
  <c r="AW118" i="5"/>
  <c r="AW128" i="5"/>
  <c r="AW149" i="5"/>
  <c r="AW87" i="5"/>
  <c r="AW127" i="5"/>
  <c r="AW136" i="5"/>
  <c r="AW153" i="5"/>
  <c r="AW86" i="5"/>
  <c r="AW110" i="5"/>
  <c r="AW129" i="5"/>
  <c r="AW144" i="5"/>
  <c r="AW154" i="5"/>
  <c r="AW159" i="5"/>
  <c r="AW174" i="5"/>
  <c r="AW186" i="5"/>
  <c r="AW179" i="5"/>
  <c r="AW165" i="5"/>
  <c r="AW184" i="5"/>
  <c r="AW200" i="5"/>
  <c r="AW142" i="5"/>
  <c r="AW194" i="5"/>
  <c r="AW210" i="5"/>
  <c r="AW222" i="5"/>
  <c r="AW238" i="5"/>
  <c r="AW167" i="5"/>
  <c r="AW215" i="5"/>
  <c r="AW239" i="5"/>
  <c r="AW181" i="5"/>
  <c r="AW193" i="5"/>
  <c r="AW209" i="5"/>
  <c r="AW223" i="5"/>
  <c r="AW232" i="5"/>
  <c r="AW211" i="5"/>
  <c r="AW247" i="5"/>
  <c r="AW269" i="5"/>
  <c r="AW290" i="5"/>
  <c r="AW305" i="5"/>
  <c r="AW326" i="5"/>
  <c r="AW177" i="5"/>
  <c r="AW249" i="5"/>
  <c r="AW257" i="5"/>
  <c r="AW275" i="5"/>
  <c r="AW293" i="5"/>
  <c r="AW309" i="5"/>
  <c r="AW320" i="5"/>
  <c r="AW190" i="5"/>
  <c r="AW250" i="5"/>
  <c r="AW267" i="5"/>
  <c r="AW277" i="5"/>
  <c r="AW292" i="5"/>
  <c r="AW308" i="5"/>
  <c r="AW325" i="5"/>
  <c r="AW340" i="5"/>
  <c r="AW212" i="5"/>
  <c r="AW307" i="5"/>
  <c r="AW344" i="5"/>
  <c r="AW356" i="5"/>
  <c r="AW365" i="5"/>
  <c r="AW379" i="5"/>
  <c r="AW390" i="5"/>
  <c r="AW412" i="5"/>
  <c r="AW426" i="5"/>
  <c r="AW318" i="5"/>
  <c r="AW349" i="5"/>
  <c r="AW366" i="5"/>
  <c r="AW394" i="5"/>
  <c r="AW406" i="5"/>
  <c r="AW264" i="5"/>
  <c r="AW343" i="5"/>
  <c r="AW376" i="5"/>
  <c r="AW387" i="5"/>
  <c r="AW401" i="5"/>
  <c r="AW409" i="5"/>
  <c r="AW385" i="5"/>
  <c r="AW440" i="5"/>
  <c r="AW461" i="5"/>
  <c r="AW476" i="5"/>
  <c r="AW482" i="5"/>
  <c r="AW500" i="5"/>
  <c r="AW512" i="5"/>
  <c r="AW288" i="5"/>
  <c r="AW418" i="5"/>
  <c r="AW441" i="5"/>
  <c r="AW451" i="5"/>
  <c r="AW466" i="5"/>
  <c r="AW487" i="5"/>
  <c r="AW494" i="5"/>
  <c r="AW508" i="5"/>
  <c r="AW518" i="5"/>
  <c r="AW335" i="5"/>
  <c r="AW393" i="5"/>
  <c r="AW417" i="5"/>
  <c r="AW425" i="5"/>
  <c r="AW442" i="5"/>
  <c r="AW458" i="5"/>
  <c r="AW483" i="5"/>
  <c r="AW496" i="5"/>
  <c r="AW527" i="5"/>
  <c r="AW538" i="5"/>
  <c r="AW547" i="5"/>
  <c r="AW279" i="5"/>
  <c r="AW423" i="5"/>
  <c r="AW532" i="5"/>
  <c r="AW556" i="5"/>
  <c r="AW516" i="5"/>
  <c r="AW535" i="5"/>
  <c r="AW551" i="5"/>
  <c r="AW383" i="5"/>
  <c r="AW475" i="5"/>
  <c r="AW504" i="5"/>
  <c r="AW555" i="5"/>
  <c r="AW497" i="5"/>
  <c r="AW543" i="5"/>
  <c r="AW432" i="5"/>
  <c r="AW336" i="5"/>
  <c r="AW354" i="5"/>
  <c r="AW374" i="5"/>
  <c r="AW395" i="5"/>
  <c r="AW415" i="5"/>
  <c r="AW300" i="5"/>
  <c r="AW362" i="5"/>
  <c r="AW381" i="5"/>
  <c r="AW391" i="5"/>
  <c r="AW403" i="5"/>
  <c r="AW410" i="5"/>
  <c r="AW428" i="5"/>
  <c r="AW444" i="5"/>
  <c r="AW465" i="5"/>
  <c r="AW477" i="5"/>
  <c r="AW484" i="5"/>
  <c r="AW505" i="5"/>
  <c r="AW519" i="5"/>
  <c r="AW361" i="5"/>
  <c r="AW431" i="5"/>
  <c r="AW443" i="5"/>
  <c r="AW454" i="5"/>
  <c r="AW469" i="5"/>
  <c r="AW488" i="5"/>
  <c r="AW499" i="5"/>
  <c r="AW509" i="5"/>
  <c r="AW520" i="5"/>
  <c r="AW339" i="5"/>
  <c r="AW402" i="5"/>
  <c r="AW421" i="5"/>
  <c r="AW433" i="5"/>
  <c r="AW445" i="5"/>
  <c r="AW460" i="5"/>
  <c r="AW485" i="5"/>
  <c r="AW501" i="5"/>
  <c r="AW533" i="5"/>
  <c r="AW540" i="5"/>
  <c r="AW552" i="5"/>
  <c r="AW285" i="5"/>
  <c r="AW452" i="5"/>
  <c r="AW549" i="5"/>
  <c r="AW369" i="5"/>
  <c r="AW522" i="5"/>
  <c r="AW539" i="5"/>
  <c r="AW554" i="5"/>
  <c r="AW447" i="5"/>
  <c r="AW478" i="5"/>
  <c r="AW515" i="5"/>
  <c r="AW557" i="5"/>
  <c r="AW507" i="5"/>
  <c r="AW545" i="5"/>
  <c r="AW439" i="5"/>
  <c r="AW342" i="5"/>
  <c r="AW358" i="5"/>
  <c r="AW378" i="5"/>
  <c r="AW398" i="5"/>
  <c r="AW420" i="5"/>
  <c r="AW303" i="5"/>
  <c r="AW368" i="5"/>
  <c r="AW382" i="5"/>
  <c r="AW396" i="5"/>
  <c r="AW405" i="5"/>
  <c r="AW338" i="5"/>
  <c r="AW429" i="5"/>
  <c r="AW446" i="5"/>
  <c r="AW467" i="5"/>
  <c r="AW479" i="5"/>
  <c r="AW492" i="5"/>
  <c r="AW506" i="5"/>
  <c r="AW523" i="5"/>
  <c r="AW367" i="5"/>
  <c r="AW436" i="5"/>
  <c r="AW449" i="5"/>
  <c r="AW455" i="5"/>
  <c r="AW473" i="5"/>
  <c r="AW489" i="5"/>
  <c r="AW502" i="5"/>
  <c r="AW510" i="5"/>
  <c r="AW521" i="5"/>
  <c r="AW351" i="5"/>
  <c r="AW411" i="5"/>
  <c r="AW422" i="5"/>
  <c r="AW435" i="5"/>
  <c r="AW448" i="5"/>
  <c r="AW464" i="5"/>
  <c r="AW490" i="5"/>
  <c r="AW517" i="5"/>
  <c r="AW534" i="5"/>
  <c r="AW542" i="5"/>
  <c r="AW558" i="5"/>
  <c r="AW291" i="5"/>
  <c r="AW459" i="5"/>
  <c r="AW550" i="5"/>
  <c r="AW462" i="5"/>
  <c r="AW528" i="5"/>
  <c r="AW541" i="5"/>
  <c r="AW548" i="5"/>
  <c r="AW457" i="5"/>
  <c r="AW486" i="5"/>
  <c r="AW525" i="5"/>
  <c r="AW360" i="5"/>
  <c r="AW514" i="5"/>
  <c r="AW553" i="5"/>
  <c r="AW388" i="5"/>
  <c r="AW372" i="5"/>
  <c r="AW352" i="5"/>
  <c r="AW480" i="5"/>
  <c r="AW373" i="5"/>
  <c r="AW481" i="5"/>
  <c r="AW266" i="5"/>
  <c r="AW437" i="5"/>
  <c r="AW526" i="5"/>
  <c r="AW404" i="5"/>
  <c r="AW530" i="5"/>
  <c r="AW498" i="5"/>
  <c r="AW19" i="5"/>
  <c r="AW274" i="5"/>
  <c r="AW400" i="5"/>
  <c r="AW386" i="5"/>
  <c r="AW430" i="5"/>
  <c r="AW495" i="5"/>
  <c r="AW438" i="5"/>
  <c r="AW493" i="5"/>
  <c r="AW375" i="5"/>
  <c r="AW456" i="5"/>
  <c r="AW536" i="5"/>
  <c r="AW524" i="5"/>
  <c r="AW546" i="5"/>
  <c r="AW531" i="5"/>
  <c r="AW348" i="5"/>
  <c r="AW259" i="5"/>
  <c r="AW397" i="5"/>
  <c r="AW453" i="5"/>
  <c r="AW511" i="5"/>
  <c r="AW450" i="5"/>
  <c r="AW503" i="5"/>
  <c r="AW414" i="5"/>
  <c r="AW472" i="5"/>
  <c r="AW544" i="5"/>
  <c r="AW559" i="5"/>
  <c r="AW560" i="5"/>
  <c r="AW474" i="5"/>
  <c r="AW470" i="5"/>
  <c r="AW424" i="5"/>
  <c r="AW471" i="5"/>
  <c r="AW364" i="5"/>
  <c r="AW537" i="5"/>
  <c r="AW491" i="5"/>
  <c r="AW529" i="5"/>
  <c r="AW323" i="5"/>
  <c r="AW463" i="5"/>
  <c r="AW261" i="5"/>
  <c r="AW407" i="5"/>
  <c r="AW513" i="5"/>
  <c r="AW468" i="5"/>
  <c r="V162" i="5"/>
  <c r="V508" i="5"/>
  <c r="V130" i="5"/>
  <c r="V56" i="5"/>
  <c r="U374" i="5"/>
  <c r="V235" i="5"/>
  <c r="V372" i="5"/>
  <c r="V475" i="5"/>
  <c r="U553" i="5"/>
  <c r="V384" i="5"/>
  <c r="U181" i="5"/>
  <c r="V7" i="5"/>
  <c r="U7" i="5"/>
  <c r="BA227" i="5"/>
  <c r="BA240" i="5"/>
  <c r="BB240" i="5"/>
  <c r="BB169" i="5"/>
  <c r="BA103" i="5"/>
  <c r="BB103" i="5"/>
  <c r="BB8" i="5"/>
  <c r="BB309" i="5"/>
  <c r="BA309" i="5"/>
  <c r="BA242" i="5"/>
  <c r="BA134" i="5"/>
  <c r="BB134" i="5"/>
  <c r="BA89" i="5"/>
  <c r="BB284" i="5"/>
  <c r="BA125" i="5"/>
  <c r="U488" i="5"/>
  <c r="V488" i="5"/>
  <c r="U497" i="5"/>
  <c r="V497" i="5"/>
  <c r="V523" i="5"/>
  <c r="U523" i="5"/>
  <c r="U510" i="5"/>
  <c r="V510" i="5"/>
  <c r="V529" i="5"/>
  <c r="U529" i="5"/>
  <c r="V471" i="5"/>
  <c r="U471" i="5"/>
  <c r="V50" i="5"/>
  <c r="U50" i="5"/>
  <c r="V338" i="5"/>
  <c r="U338" i="5"/>
  <c r="V441" i="5"/>
  <c r="U441" i="5"/>
  <c r="U256" i="5"/>
  <c r="V256" i="5"/>
  <c r="U145" i="5"/>
  <c r="V145" i="5"/>
  <c r="U49" i="5"/>
  <c r="V49" i="5"/>
  <c r="U253" i="5"/>
  <c r="V253" i="5"/>
  <c r="U120" i="5"/>
  <c r="V120" i="5"/>
  <c r="U48" i="5"/>
  <c r="V48" i="5"/>
  <c r="U465" i="5"/>
  <c r="V465" i="5"/>
  <c r="U462" i="5"/>
  <c r="V462" i="5"/>
  <c r="V369" i="5"/>
  <c r="U369" i="5"/>
  <c r="V266" i="5"/>
  <c r="U266" i="5"/>
  <c r="U128" i="5"/>
  <c r="V128" i="5"/>
  <c r="U504" i="5"/>
  <c r="V504" i="5"/>
  <c r="U399" i="5"/>
  <c r="V399" i="5"/>
  <c r="V335" i="5"/>
  <c r="U335" i="5"/>
  <c r="U135" i="5"/>
  <c r="V135" i="5"/>
  <c r="V196" i="5"/>
  <c r="U196" i="5"/>
  <c r="U138" i="5"/>
  <c r="V138" i="5"/>
  <c r="V107" i="5"/>
  <c r="U107" i="5"/>
  <c r="U8" i="5"/>
  <c r="V8" i="5"/>
  <c r="V312" i="5"/>
  <c r="U318" i="5"/>
  <c r="BA332" i="5"/>
  <c r="BB332" i="5"/>
  <c r="BB283" i="5"/>
  <c r="BA283" i="5"/>
  <c r="BB326" i="5"/>
  <c r="BA274" i="5"/>
  <c r="BA219" i="5"/>
  <c r="BB219" i="5"/>
  <c r="BB221" i="5"/>
  <c r="BA221" i="5"/>
  <c r="BB197" i="5"/>
  <c r="BA197" i="5"/>
  <c r="BA172" i="5"/>
  <c r="BB172" i="5"/>
  <c r="BA132" i="5"/>
  <c r="BA81" i="5"/>
  <c r="BB80" i="5"/>
  <c r="BA80" i="5"/>
  <c r="BB70" i="5"/>
  <c r="BA70" i="5"/>
  <c r="BB68" i="5"/>
  <c r="BB43" i="5"/>
  <c r="BA352" i="5"/>
  <c r="BB352" i="5"/>
  <c r="BB295" i="5"/>
  <c r="BB188" i="5"/>
  <c r="BA188" i="5"/>
  <c r="BA247" i="5"/>
  <c r="BB247" i="5"/>
  <c r="BB237" i="5"/>
  <c r="BB226" i="5"/>
  <c r="BA226" i="5"/>
  <c r="BA230" i="5"/>
  <c r="BB230" i="5"/>
  <c r="BA180" i="5"/>
  <c r="BB154" i="5"/>
  <c r="BA154" i="5"/>
  <c r="BB86" i="5"/>
  <c r="BA84" i="5"/>
  <c r="BB84" i="5"/>
  <c r="BA78" i="5"/>
  <c r="BB78" i="5"/>
  <c r="BB30" i="5"/>
  <c r="BB369" i="5"/>
  <c r="BA369" i="5"/>
  <c r="BA346" i="5"/>
  <c r="BB346" i="5"/>
  <c r="BA232" i="5"/>
  <c r="BA238" i="5"/>
  <c r="BB243" i="5"/>
  <c r="BA243" i="5"/>
  <c r="BB130" i="5"/>
  <c r="BA130" i="5"/>
  <c r="BB175" i="5"/>
  <c r="BA113" i="5"/>
  <c r="BB113" i="5"/>
  <c r="BB112" i="5"/>
  <c r="BA112" i="5"/>
  <c r="BB71" i="5"/>
  <c r="BB29" i="5"/>
  <c r="AV7" i="5"/>
  <c r="AU7" i="5"/>
  <c r="U419" i="5"/>
  <c r="V419" i="5"/>
  <c r="V548" i="5"/>
  <c r="U548" i="5"/>
  <c r="U543" i="5"/>
  <c r="V543" i="5"/>
  <c r="V483" i="5"/>
  <c r="U483" i="5"/>
  <c r="U227" i="5"/>
  <c r="V227" i="5"/>
  <c r="U444" i="5"/>
  <c r="V444" i="5"/>
  <c r="U460" i="5"/>
  <c r="V460" i="5"/>
  <c r="U36" i="5"/>
  <c r="V36" i="5"/>
  <c r="V436" i="5"/>
  <c r="U436" i="5"/>
  <c r="V479" i="5"/>
  <c r="U479" i="5"/>
  <c r="U527" i="5"/>
  <c r="V527" i="5"/>
  <c r="V534" i="5"/>
  <c r="U534" i="5"/>
  <c r="U489" i="5"/>
  <c r="V489" i="5"/>
  <c r="U401" i="5"/>
  <c r="V401" i="5"/>
  <c r="U474" i="5"/>
  <c r="V474" i="5"/>
  <c r="V491" i="5"/>
  <c r="U491" i="5"/>
  <c r="U365" i="5"/>
  <c r="V365" i="5"/>
  <c r="U298" i="5"/>
  <c r="V298" i="5"/>
  <c r="U208" i="5"/>
  <c r="V208" i="5"/>
  <c r="V55" i="5"/>
  <c r="U55" i="5"/>
  <c r="V558" i="5"/>
  <c r="U558" i="5"/>
  <c r="U426" i="5"/>
  <c r="V426" i="5"/>
  <c r="U346" i="5"/>
  <c r="V346" i="5"/>
  <c r="U467" i="5"/>
  <c r="V467" i="5"/>
  <c r="U358" i="5"/>
  <c r="V358" i="5"/>
  <c r="V453" i="5"/>
  <c r="U453" i="5"/>
  <c r="U447" i="5"/>
  <c r="V447" i="5"/>
  <c r="V376" i="5"/>
  <c r="U376" i="5"/>
  <c r="V292" i="5"/>
  <c r="U292" i="5"/>
  <c r="U177" i="5"/>
  <c r="V177" i="5"/>
  <c r="U28" i="5"/>
  <c r="V28" i="5"/>
  <c r="U449" i="5"/>
  <c r="V449" i="5"/>
  <c r="U550" i="5"/>
  <c r="V550" i="5"/>
  <c r="U538" i="5"/>
  <c r="V538" i="5"/>
  <c r="U446" i="5"/>
  <c r="V446" i="5"/>
  <c r="U511" i="5"/>
  <c r="V511" i="5"/>
  <c r="U533" i="5"/>
  <c r="V533" i="5"/>
  <c r="U357" i="5"/>
  <c r="V357" i="5"/>
  <c r="U367" i="5"/>
  <c r="V367" i="5"/>
  <c r="U248" i="5"/>
  <c r="V248" i="5"/>
  <c r="U141" i="5"/>
  <c r="V141" i="5"/>
  <c r="U392" i="5"/>
  <c r="V392" i="5"/>
  <c r="V418" i="5"/>
  <c r="U418" i="5"/>
  <c r="U433" i="5"/>
  <c r="V433" i="5"/>
  <c r="U307" i="5"/>
  <c r="V307" i="5"/>
  <c r="U160" i="5"/>
  <c r="V160" i="5"/>
  <c r="U314" i="5"/>
  <c r="V314" i="5"/>
  <c r="U219" i="5"/>
  <c r="V219" i="5"/>
  <c r="U220" i="5"/>
  <c r="V220" i="5"/>
  <c r="U184" i="5"/>
  <c r="V184" i="5"/>
  <c r="V104" i="5"/>
  <c r="U104" i="5"/>
  <c r="U110" i="5"/>
  <c r="V110" i="5"/>
  <c r="U71" i="5"/>
  <c r="V71" i="5"/>
  <c r="U45" i="5"/>
  <c r="V45" i="5"/>
  <c r="U409" i="5"/>
  <c r="V409" i="5"/>
  <c r="U424" i="5"/>
  <c r="V424" i="5"/>
  <c r="U337" i="5"/>
  <c r="V337" i="5"/>
  <c r="V305" i="5"/>
  <c r="U305" i="5"/>
  <c r="U328" i="5"/>
  <c r="V328" i="5"/>
  <c r="V308" i="5"/>
  <c r="U308" i="5"/>
  <c r="U213" i="5"/>
  <c r="V213" i="5"/>
  <c r="U218" i="5"/>
  <c r="V218" i="5"/>
  <c r="U182" i="5"/>
  <c r="V182" i="5"/>
  <c r="U75" i="5"/>
  <c r="V75" i="5"/>
  <c r="U108" i="5"/>
  <c r="V108" i="5"/>
  <c r="U68" i="5"/>
  <c r="V68" i="5"/>
  <c r="U42" i="5"/>
  <c r="V42" i="5"/>
  <c r="U469" i="5"/>
  <c r="V469" i="5"/>
  <c r="V552" i="5"/>
  <c r="U552" i="5"/>
  <c r="U554" i="5"/>
  <c r="V554" i="5"/>
  <c r="V344" i="5"/>
  <c r="U344" i="5"/>
  <c r="V486" i="5"/>
  <c r="U486" i="5"/>
  <c r="U422" i="5"/>
  <c r="V422" i="5"/>
  <c r="V512" i="5"/>
  <c r="U512" i="5"/>
  <c r="V442" i="5"/>
  <c r="U442" i="5"/>
  <c r="V472" i="5"/>
  <c r="U472" i="5"/>
  <c r="U404" i="5"/>
  <c r="V404" i="5"/>
  <c r="V228" i="5"/>
  <c r="U228" i="5"/>
  <c r="U437" i="5"/>
  <c r="V437" i="5"/>
  <c r="U359" i="5"/>
  <c r="V359" i="5"/>
  <c r="U321" i="5"/>
  <c r="V321" i="5"/>
  <c r="U332" i="5"/>
  <c r="V332" i="5"/>
  <c r="V233" i="5"/>
  <c r="U233" i="5"/>
  <c r="V234" i="5"/>
  <c r="U234" i="5"/>
  <c r="V158" i="5"/>
  <c r="U158" i="5"/>
  <c r="V122" i="5"/>
  <c r="U122" i="5"/>
  <c r="V113" i="5"/>
  <c r="U113" i="5"/>
  <c r="V77" i="5"/>
  <c r="U77" i="5"/>
  <c r="V40" i="5"/>
  <c r="U40" i="5"/>
  <c r="V498" i="5"/>
  <c r="U498" i="5"/>
  <c r="V438" i="5"/>
  <c r="U438" i="5"/>
  <c r="U499" i="5"/>
  <c r="V499" i="5"/>
  <c r="U428" i="5"/>
  <c r="V428" i="5"/>
  <c r="U382" i="5"/>
  <c r="V382" i="5"/>
  <c r="V195" i="5"/>
  <c r="U195" i="5"/>
  <c r="V341" i="5"/>
  <c r="U341" i="5"/>
  <c r="V400" i="5"/>
  <c r="U400" i="5"/>
  <c r="U315" i="5"/>
  <c r="V315" i="5"/>
  <c r="U320" i="5"/>
  <c r="V320" i="5"/>
  <c r="V261" i="5"/>
  <c r="U261" i="5"/>
  <c r="U299" i="5"/>
  <c r="V299" i="5"/>
  <c r="U322" i="5"/>
  <c r="V322" i="5"/>
  <c r="U263" i="5"/>
  <c r="V263" i="5"/>
  <c r="V225" i="5"/>
  <c r="U225" i="5"/>
  <c r="V229" i="5"/>
  <c r="U229" i="5"/>
  <c r="V224" i="5"/>
  <c r="U224" i="5"/>
  <c r="V204" i="5"/>
  <c r="U204" i="5"/>
  <c r="V100" i="5"/>
  <c r="U100" i="5"/>
  <c r="U173" i="5"/>
  <c r="V173" i="5"/>
  <c r="V115" i="5"/>
  <c r="U115" i="5"/>
  <c r="V109" i="5"/>
  <c r="U109" i="5"/>
  <c r="V87" i="5"/>
  <c r="U87" i="5"/>
  <c r="V69" i="5"/>
  <c r="U69" i="5"/>
  <c r="V80" i="5"/>
  <c r="U80" i="5"/>
  <c r="V33" i="5"/>
  <c r="U33" i="5"/>
  <c r="V34" i="5"/>
  <c r="U34" i="5"/>
  <c r="U276" i="5"/>
  <c r="V276" i="5"/>
  <c r="U252" i="5"/>
  <c r="V252" i="5"/>
  <c r="U207" i="5"/>
  <c r="V207" i="5"/>
  <c r="U211" i="5"/>
  <c r="V211" i="5"/>
  <c r="U190" i="5"/>
  <c r="V190" i="5"/>
  <c r="V169" i="5"/>
  <c r="U169" i="5"/>
  <c r="V151" i="5"/>
  <c r="U151" i="5"/>
  <c r="U155" i="5"/>
  <c r="V155" i="5"/>
  <c r="U64" i="5"/>
  <c r="V64" i="5"/>
  <c r="BA344" i="5"/>
  <c r="BB344" i="5"/>
  <c r="BA256" i="5"/>
  <c r="BA111" i="5"/>
  <c r="BB111" i="5"/>
  <c r="BB53" i="5"/>
  <c r="BB38" i="5"/>
  <c r="BA38" i="5"/>
  <c r="BB269" i="5"/>
  <c r="BB191" i="5"/>
  <c r="BA191" i="5"/>
  <c r="BA136" i="5"/>
  <c r="BB136" i="5"/>
  <c r="BA119" i="5"/>
  <c r="BB94" i="5"/>
  <c r="BA94" i="5"/>
  <c r="BA52" i="5"/>
  <c r="BB52" i="5"/>
  <c r="BA206" i="5"/>
  <c r="BA251" i="5"/>
  <c r="BB251" i="5"/>
  <c r="BA174" i="5"/>
  <c r="BB141" i="5"/>
  <c r="BA141" i="5"/>
  <c r="BB114" i="5"/>
  <c r="BA114" i="5"/>
  <c r="BA51" i="5"/>
  <c r="U350" i="5"/>
  <c r="V350" i="5"/>
  <c r="V413" i="5"/>
  <c r="U413" i="5"/>
  <c r="U459" i="5"/>
  <c r="V459" i="5"/>
  <c r="U304" i="5"/>
  <c r="V304" i="5"/>
  <c r="U555" i="5"/>
  <c r="V555" i="5"/>
  <c r="V434" i="5"/>
  <c r="U434" i="5"/>
  <c r="V515" i="5"/>
  <c r="U515" i="5"/>
  <c r="U191" i="5"/>
  <c r="V191" i="5"/>
  <c r="U518" i="5"/>
  <c r="V518" i="5"/>
  <c r="U395" i="5"/>
  <c r="V395" i="5"/>
  <c r="V355" i="5"/>
  <c r="U355" i="5"/>
  <c r="V206" i="5"/>
  <c r="U206" i="5"/>
  <c r="U333" i="5"/>
  <c r="V333" i="5"/>
  <c r="V317" i="5"/>
  <c r="U317" i="5"/>
  <c r="U125" i="5"/>
  <c r="V125" i="5"/>
  <c r="V297" i="5"/>
  <c r="U297" i="5"/>
  <c r="U330" i="5"/>
  <c r="V330" i="5"/>
  <c r="V153" i="5"/>
  <c r="U153" i="5"/>
  <c r="V179" i="5"/>
  <c r="U179" i="5"/>
  <c r="U78" i="5"/>
  <c r="V78" i="5"/>
  <c r="U247" i="5"/>
  <c r="V247" i="5"/>
  <c r="V326" i="5"/>
  <c r="U326" i="5"/>
  <c r="U240" i="5"/>
  <c r="V240" i="5"/>
  <c r="V143" i="5"/>
  <c r="U143" i="5"/>
  <c r="V73" i="5"/>
  <c r="U73" i="5"/>
  <c r="U440" i="5"/>
  <c r="V440" i="5"/>
  <c r="U493" i="5"/>
  <c r="V493" i="5"/>
  <c r="V522" i="5"/>
  <c r="U522" i="5"/>
  <c r="V378" i="5"/>
  <c r="U378" i="5"/>
  <c r="V264" i="5"/>
  <c r="U264" i="5"/>
  <c r="V193" i="5"/>
  <c r="U193" i="5"/>
  <c r="V147" i="5"/>
  <c r="U147" i="5"/>
  <c r="V54" i="5"/>
  <c r="U54" i="5"/>
  <c r="V513" i="5"/>
  <c r="U513" i="5"/>
  <c r="U294" i="5"/>
  <c r="V294" i="5"/>
  <c r="U415" i="5"/>
  <c r="V415" i="5"/>
  <c r="U271" i="5"/>
  <c r="V271" i="5"/>
  <c r="V274" i="5"/>
  <c r="U274" i="5"/>
  <c r="V243" i="5"/>
  <c r="U243" i="5"/>
  <c r="U172" i="5"/>
  <c r="V172" i="5"/>
  <c r="V123" i="5"/>
  <c r="U123" i="5"/>
  <c r="U59" i="5"/>
  <c r="V59" i="5"/>
  <c r="U44" i="5"/>
  <c r="V44" i="5"/>
  <c r="U221" i="5"/>
  <c r="V221" i="5"/>
  <c r="U223" i="5"/>
  <c r="V223" i="5"/>
  <c r="V171" i="5"/>
  <c r="U171" i="5"/>
  <c r="V106" i="5"/>
  <c r="U106" i="5"/>
  <c r="U76" i="5"/>
  <c r="V76" i="5"/>
  <c r="U30" i="5"/>
  <c r="V30" i="5"/>
  <c r="AJ93" i="5"/>
  <c r="AJ49" i="5"/>
  <c r="AL49" i="5" s="1"/>
  <c r="AJ105" i="5"/>
  <c r="AK105" i="5" s="1"/>
  <c r="AJ75" i="5"/>
  <c r="AL75" i="5" s="1"/>
  <c r="AJ188" i="5"/>
  <c r="AK188" i="5" s="1"/>
  <c r="AJ146" i="5"/>
  <c r="AJ77" i="5"/>
  <c r="AK77" i="5" s="1"/>
  <c r="AJ169" i="5"/>
  <c r="AJ195" i="5"/>
  <c r="AL195" i="5" s="1"/>
  <c r="AJ156" i="5"/>
  <c r="AL156" i="5" s="1"/>
  <c r="AJ87" i="5"/>
  <c r="AL87" i="5" s="1"/>
  <c r="AJ24" i="5"/>
  <c r="AJ44" i="5"/>
  <c r="AK44" i="5" s="1"/>
  <c r="V201" i="5"/>
  <c r="V275" i="5"/>
  <c r="BA261" i="5"/>
  <c r="BB261" i="5"/>
  <c r="BB199" i="5"/>
  <c r="BA199" i="5"/>
  <c r="BB208" i="5"/>
  <c r="BA168" i="5"/>
  <c r="BB168" i="5"/>
  <c r="BA159" i="5"/>
  <c r="BB159" i="5"/>
  <c r="BA61" i="5"/>
  <c r="BA56" i="5"/>
  <c r="BB56" i="5"/>
  <c r="BA26" i="5"/>
  <c r="BB26" i="5"/>
  <c r="BA329" i="5"/>
  <c r="BB329" i="5"/>
  <c r="BB268" i="5"/>
  <c r="BA268" i="5"/>
  <c r="BB323" i="5"/>
  <c r="BB183" i="5"/>
  <c r="BA183" i="5"/>
  <c r="BB166" i="5"/>
  <c r="BA166" i="5"/>
  <c r="BB138" i="5"/>
  <c r="BA144" i="5"/>
  <c r="BB144" i="5"/>
  <c r="BA74" i="5"/>
  <c r="BB74" i="5"/>
  <c r="BA31" i="5"/>
  <c r="BB337" i="5"/>
  <c r="BA287" i="5"/>
  <c r="BB287" i="5"/>
  <c r="BA331" i="5"/>
  <c r="BB331" i="5"/>
  <c r="BB234" i="5"/>
  <c r="BA234" i="5"/>
  <c r="BA222" i="5"/>
  <c r="BB222" i="5"/>
  <c r="BA198" i="5"/>
  <c r="BA176" i="5"/>
  <c r="BA108" i="5"/>
  <c r="BB108" i="5"/>
  <c r="BA82" i="5"/>
  <c r="BB82" i="5"/>
  <c r="BB73" i="5"/>
  <c r="BA20" i="5"/>
  <c r="BB20" i="5"/>
  <c r="U503" i="5"/>
  <c r="V503" i="5"/>
  <c r="V525" i="5"/>
  <c r="U525" i="5"/>
  <c r="V494" i="5"/>
  <c r="U494" i="5"/>
  <c r="U74" i="5"/>
  <c r="V74" i="5"/>
  <c r="U477" i="5"/>
  <c r="V477" i="5"/>
  <c r="V547" i="5"/>
  <c r="U547" i="5"/>
  <c r="U521" i="5"/>
  <c r="V521" i="5"/>
  <c r="U327" i="5"/>
  <c r="V327" i="5"/>
  <c r="U397" i="5"/>
  <c r="V397" i="5"/>
  <c r="U450" i="5"/>
  <c r="V450" i="5"/>
  <c r="V352" i="5"/>
  <c r="U352" i="5"/>
  <c r="U360" i="5"/>
  <c r="V360" i="5"/>
  <c r="V391" i="5"/>
  <c r="U391" i="5"/>
  <c r="U323" i="5"/>
  <c r="V323" i="5"/>
  <c r="U140" i="5"/>
  <c r="V140" i="5"/>
  <c r="V27" i="5"/>
  <c r="U27" i="5"/>
  <c r="U528" i="5"/>
  <c r="V528" i="5"/>
  <c r="U541" i="5"/>
  <c r="V541" i="5"/>
  <c r="V556" i="5"/>
  <c r="U556" i="5"/>
  <c r="U452" i="5"/>
  <c r="V452" i="5"/>
  <c r="V517" i="5"/>
  <c r="U517" i="5"/>
  <c r="U537" i="5"/>
  <c r="V537" i="5"/>
  <c r="V370" i="5"/>
  <c r="U370" i="5"/>
  <c r="U393" i="5"/>
  <c r="V393" i="5"/>
  <c r="V265" i="5"/>
  <c r="U265" i="5"/>
  <c r="U112" i="5"/>
  <c r="V112" i="5"/>
  <c r="V551" i="5"/>
  <c r="U551" i="5"/>
  <c r="U540" i="5"/>
  <c r="V540" i="5"/>
  <c r="V416" i="5"/>
  <c r="U416" i="5"/>
  <c r="U485" i="5"/>
  <c r="V485" i="5"/>
  <c r="U507" i="5"/>
  <c r="V507" i="5"/>
  <c r="V388" i="5"/>
  <c r="U388" i="5"/>
  <c r="V343" i="5"/>
  <c r="U343" i="5"/>
  <c r="U166" i="5"/>
  <c r="V166" i="5"/>
  <c r="U25" i="5"/>
  <c r="V25" i="5"/>
  <c r="U373" i="5"/>
  <c r="V373" i="5"/>
  <c r="V389" i="5"/>
  <c r="U389" i="5"/>
  <c r="V410" i="5"/>
  <c r="U410" i="5"/>
  <c r="V309" i="5"/>
  <c r="U309" i="5"/>
  <c r="V296" i="5"/>
  <c r="U296" i="5"/>
  <c r="U278" i="5"/>
  <c r="V278" i="5"/>
  <c r="U168" i="5"/>
  <c r="V168" i="5"/>
  <c r="U202" i="5"/>
  <c r="V202" i="5"/>
  <c r="V111" i="5"/>
  <c r="U111" i="5"/>
  <c r="U129" i="5"/>
  <c r="V129" i="5"/>
  <c r="U72" i="5"/>
  <c r="V72" i="5"/>
  <c r="U65" i="5"/>
  <c r="V65" i="5"/>
  <c r="U21" i="5"/>
  <c r="V21" i="5"/>
  <c r="U385" i="5"/>
  <c r="V385" i="5"/>
  <c r="V405" i="5"/>
  <c r="U405" i="5"/>
  <c r="U286" i="5"/>
  <c r="V286" i="5"/>
  <c r="U311" i="5"/>
  <c r="V311" i="5"/>
  <c r="U277" i="5"/>
  <c r="V277" i="5"/>
  <c r="V157" i="5"/>
  <c r="U157" i="5"/>
  <c r="U200" i="5"/>
  <c r="V200" i="5"/>
  <c r="V86" i="5"/>
  <c r="U86" i="5"/>
  <c r="U124" i="5"/>
  <c r="V124" i="5"/>
  <c r="U60" i="5"/>
  <c r="V60" i="5"/>
  <c r="U62" i="5"/>
  <c r="V62" i="5"/>
  <c r="U46" i="5"/>
  <c r="V46" i="5"/>
  <c r="U559" i="5"/>
  <c r="V559" i="5"/>
  <c r="U524" i="5"/>
  <c r="V524" i="5"/>
  <c r="V545" i="5"/>
  <c r="U545" i="5"/>
  <c r="V557" i="5"/>
  <c r="U557" i="5"/>
  <c r="V470" i="5"/>
  <c r="U470" i="5"/>
  <c r="U398" i="5"/>
  <c r="V398" i="5"/>
  <c r="V500" i="5"/>
  <c r="U500" i="5"/>
  <c r="V339" i="5"/>
  <c r="U339" i="5"/>
  <c r="V448" i="5"/>
  <c r="U448" i="5"/>
  <c r="U383" i="5"/>
  <c r="V383" i="5"/>
  <c r="U421" i="5"/>
  <c r="V421" i="5"/>
  <c r="U329" i="5"/>
  <c r="V329" i="5"/>
  <c r="U325" i="5"/>
  <c r="V325" i="5"/>
  <c r="V295" i="5"/>
  <c r="U295" i="5"/>
  <c r="V192" i="5"/>
  <c r="U192" i="5"/>
  <c r="V209" i="5"/>
  <c r="U209" i="5"/>
  <c r="V163" i="5"/>
  <c r="U163" i="5"/>
  <c r="V148" i="5"/>
  <c r="U148" i="5"/>
  <c r="V90" i="5"/>
  <c r="U90" i="5"/>
  <c r="U58" i="5"/>
  <c r="V58" i="5"/>
  <c r="V31" i="5"/>
  <c r="U31" i="5"/>
  <c r="U480" i="5"/>
  <c r="V480" i="5"/>
  <c r="U347" i="5"/>
  <c r="V347" i="5"/>
  <c r="U478" i="5"/>
  <c r="V478" i="5"/>
  <c r="U324" i="5"/>
  <c r="V324" i="5"/>
  <c r="U363" i="5"/>
  <c r="V363" i="5"/>
  <c r="V407" i="5"/>
  <c r="U407" i="5"/>
  <c r="U214" i="5"/>
  <c r="V214" i="5"/>
  <c r="V381" i="5"/>
  <c r="U381" i="5"/>
  <c r="V283" i="5"/>
  <c r="U283" i="5"/>
  <c r="V303" i="5"/>
  <c r="U303" i="5"/>
  <c r="U246" i="5"/>
  <c r="V246" i="5"/>
  <c r="V284" i="5"/>
  <c r="U284" i="5"/>
  <c r="V306" i="5"/>
  <c r="U306" i="5"/>
  <c r="U254" i="5"/>
  <c r="V254" i="5"/>
  <c r="U210" i="5"/>
  <c r="V210" i="5"/>
  <c r="U212" i="5"/>
  <c r="V212" i="5"/>
  <c r="V215" i="5"/>
  <c r="U215" i="5"/>
  <c r="U194" i="5"/>
  <c r="V194" i="5"/>
  <c r="U170" i="5"/>
  <c r="V170" i="5"/>
  <c r="V149" i="5"/>
  <c r="U149" i="5"/>
  <c r="V156" i="5"/>
  <c r="U156" i="5"/>
  <c r="U84" i="5"/>
  <c r="V84" i="5"/>
  <c r="U101" i="5"/>
  <c r="V101" i="5"/>
  <c r="U94" i="5"/>
  <c r="V94" i="5"/>
  <c r="U66" i="5"/>
  <c r="V66" i="5"/>
  <c r="U70" i="5"/>
  <c r="V70" i="5"/>
  <c r="U39" i="5"/>
  <c r="V39" i="5"/>
  <c r="V250" i="5"/>
  <c r="U250" i="5"/>
  <c r="V176" i="5"/>
  <c r="U176" i="5"/>
  <c r="V174" i="5"/>
  <c r="U174" i="5"/>
  <c r="U150" i="5"/>
  <c r="V150" i="5"/>
  <c r="U118" i="5"/>
  <c r="V118" i="5"/>
  <c r="U131" i="5"/>
  <c r="V131" i="5"/>
  <c r="V83" i="5"/>
  <c r="U83" i="5"/>
  <c r="U67" i="5"/>
  <c r="V67" i="5"/>
  <c r="U41" i="5"/>
  <c r="V41" i="5"/>
  <c r="BA302" i="5"/>
  <c r="BB302" i="5"/>
  <c r="BA282" i="5"/>
  <c r="BB282" i="5"/>
  <c r="BA236" i="5"/>
  <c r="BA115" i="5"/>
  <c r="BB115" i="5"/>
  <c r="BA107" i="5"/>
  <c r="BB83" i="5"/>
  <c r="BA39" i="5"/>
  <c r="BB39" i="5"/>
  <c r="BA373" i="5"/>
  <c r="BB288" i="5"/>
  <c r="BA288" i="5"/>
  <c r="BB179" i="5"/>
  <c r="BB177" i="5"/>
  <c r="BA75" i="5"/>
  <c r="BB44" i="5"/>
  <c r="BA44" i="5"/>
  <c r="BA314" i="5"/>
  <c r="BB314" i="5"/>
  <c r="BA300" i="5"/>
  <c r="BA178" i="5"/>
  <c r="BB178" i="5"/>
  <c r="BB156" i="5"/>
  <c r="BA156" i="5"/>
  <c r="BB137" i="5"/>
  <c r="BB92" i="5"/>
  <c r="BA92" i="5"/>
  <c r="BA32" i="5"/>
  <c r="BB45" i="5"/>
  <c r="BA45" i="5"/>
  <c r="V531" i="5"/>
  <c r="U531" i="5"/>
  <c r="V310" i="5"/>
  <c r="U310" i="5"/>
  <c r="V154" i="5"/>
  <c r="U154" i="5"/>
  <c r="V432" i="5"/>
  <c r="U432" i="5"/>
  <c r="V546" i="5"/>
  <c r="U546" i="5"/>
  <c r="U501" i="5"/>
  <c r="V501" i="5"/>
  <c r="U408" i="5"/>
  <c r="V408" i="5"/>
  <c r="U88" i="5"/>
  <c r="V88" i="5"/>
  <c r="V476" i="5"/>
  <c r="U476" i="5"/>
  <c r="V487" i="5"/>
  <c r="U487" i="5"/>
  <c r="V481" i="5"/>
  <c r="U481" i="5"/>
  <c r="V281" i="5"/>
  <c r="U281" i="5"/>
  <c r="U549" i="5"/>
  <c r="V549" i="5"/>
  <c r="V463" i="5"/>
  <c r="U463" i="5"/>
  <c r="U431" i="5"/>
  <c r="V431" i="5"/>
  <c r="U258" i="5"/>
  <c r="V258" i="5"/>
  <c r="U414" i="5"/>
  <c r="V414" i="5"/>
  <c r="U366" i="5"/>
  <c r="V366" i="5"/>
  <c r="U244" i="5"/>
  <c r="V244" i="5"/>
  <c r="U144" i="5"/>
  <c r="V144" i="5"/>
  <c r="U132" i="5"/>
  <c r="V132" i="5"/>
  <c r="V272" i="5"/>
  <c r="U272" i="5"/>
  <c r="U237" i="5"/>
  <c r="V237" i="5"/>
  <c r="V175" i="5"/>
  <c r="U175" i="5"/>
  <c r="V127" i="5"/>
  <c r="U127" i="5"/>
  <c r="U502" i="5"/>
  <c r="V502" i="5"/>
  <c r="U406" i="5"/>
  <c r="V406" i="5"/>
  <c r="V439" i="5"/>
  <c r="U439" i="5"/>
  <c r="V505" i="5"/>
  <c r="U505" i="5"/>
  <c r="V336" i="5"/>
  <c r="U336" i="5"/>
  <c r="U349" i="5"/>
  <c r="V349" i="5"/>
  <c r="V249" i="5"/>
  <c r="U249" i="5"/>
  <c r="U189" i="5"/>
  <c r="V189" i="5"/>
  <c r="U81" i="5"/>
  <c r="V81" i="5"/>
  <c r="U456" i="5"/>
  <c r="V456" i="5"/>
  <c r="V443" i="5"/>
  <c r="U443" i="5"/>
  <c r="U375" i="5"/>
  <c r="V375" i="5"/>
  <c r="U345" i="5"/>
  <c r="V345" i="5"/>
  <c r="U316" i="5"/>
  <c r="V316" i="5"/>
  <c r="U236" i="5"/>
  <c r="V236" i="5"/>
  <c r="U245" i="5"/>
  <c r="V245" i="5"/>
  <c r="V187" i="5"/>
  <c r="U187" i="5"/>
  <c r="U126" i="5"/>
  <c r="V126" i="5"/>
  <c r="V61" i="5"/>
  <c r="U61" i="5"/>
  <c r="U47" i="5"/>
  <c r="V47" i="5"/>
  <c r="U260" i="5"/>
  <c r="V260" i="5"/>
  <c r="V79" i="5"/>
  <c r="U79" i="5"/>
  <c r="U114" i="5"/>
  <c r="V114" i="5"/>
  <c r="U98" i="5"/>
  <c r="V98" i="5"/>
  <c r="AJ28" i="5"/>
  <c r="AL28" i="5" s="1"/>
  <c r="AJ158" i="5"/>
  <c r="AL158" i="5" s="1"/>
  <c r="AJ27" i="5"/>
  <c r="AK27" i="5" s="1"/>
  <c r="AJ164" i="5"/>
  <c r="AL164" i="5" s="1"/>
  <c r="AJ40" i="5"/>
  <c r="AL40" i="5" s="1"/>
  <c r="AJ174" i="5"/>
  <c r="AL174" i="5" s="1"/>
  <c r="AJ125" i="5"/>
  <c r="AK125" i="5" s="1"/>
  <c r="AJ61" i="5"/>
  <c r="AJ153" i="5"/>
  <c r="AK153" i="5" s="1"/>
  <c r="AJ184" i="5"/>
  <c r="AJ143" i="5"/>
  <c r="AJ71" i="5"/>
  <c r="AJ165" i="5"/>
  <c r="AK165" i="5" s="1"/>
  <c r="AJ138" i="5"/>
  <c r="V412" i="5"/>
  <c r="V222" i="5"/>
  <c r="U37" i="5"/>
  <c r="U362" i="5"/>
  <c r="V22" i="5"/>
  <c r="BB312" i="5"/>
  <c r="BA312" i="5"/>
  <c r="BB249" i="5"/>
  <c r="BA249" i="5"/>
  <c r="BA278" i="5"/>
  <c r="BB278" i="5"/>
  <c r="BB296" i="5"/>
  <c r="BA296" i="5"/>
  <c r="BB220" i="5"/>
  <c r="BA220" i="5"/>
  <c r="BB161" i="5"/>
  <c r="BA161" i="5"/>
  <c r="BB194" i="5"/>
  <c r="BA194" i="5"/>
  <c r="BA171" i="5"/>
  <c r="BB171" i="5"/>
  <c r="BB152" i="5"/>
  <c r="BA152" i="5"/>
  <c r="BA116" i="5"/>
  <c r="BB116" i="5"/>
  <c r="BA127" i="5"/>
  <c r="BB127" i="5"/>
  <c r="BA123" i="5"/>
  <c r="BB123" i="5"/>
  <c r="BA110" i="5"/>
  <c r="BB110" i="5"/>
  <c r="BB91" i="5"/>
  <c r="BA91" i="5"/>
  <c r="BA23" i="5"/>
  <c r="BB23" i="5"/>
  <c r="BA24" i="5"/>
  <c r="BB24" i="5"/>
  <c r="BB50" i="5"/>
  <c r="BA50" i="5"/>
  <c r="BB40" i="5"/>
  <c r="BA40" i="5"/>
  <c r="BA393" i="5"/>
  <c r="BB393" i="5"/>
  <c r="BA218" i="5"/>
  <c r="BB218" i="5"/>
  <c r="BB315" i="5"/>
  <c r="BA315" i="5"/>
  <c r="BA255" i="5"/>
  <c r="BB255" i="5"/>
  <c r="BA290" i="5"/>
  <c r="BB290" i="5"/>
  <c r="BA303" i="5"/>
  <c r="BB303" i="5"/>
  <c r="BA246" i="5"/>
  <c r="BB246" i="5"/>
  <c r="BA184" i="5"/>
  <c r="BB184" i="5"/>
  <c r="BA196" i="5"/>
  <c r="BB196" i="5"/>
  <c r="BA190" i="5"/>
  <c r="BB190" i="5"/>
  <c r="BB158" i="5"/>
  <c r="BA158" i="5"/>
  <c r="BB150" i="5"/>
  <c r="BA150" i="5"/>
  <c r="BA139" i="5"/>
  <c r="BB139" i="5"/>
  <c r="BB126" i="5"/>
  <c r="BA126" i="5"/>
  <c r="BB121" i="5"/>
  <c r="BA121" i="5"/>
  <c r="BA95" i="5"/>
  <c r="BB95" i="5"/>
  <c r="BB59" i="5"/>
  <c r="BA59" i="5"/>
  <c r="BB55" i="5"/>
  <c r="BA55" i="5"/>
  <c r="BA35" i="5"/>
  <c r="BB35" i="5"/>
  <c r="BB22" i="5"/>
  <c r="BA22" i="5"/>
  <c r="BA299" i="5"/>
  <c r="BB299" i="5"/>
  <c r="BB324" i="5"/>
  <c r="BA324" i="5"/>
  <c r="BB265" i="5"/>
  <c r="BA265" i="5"/>
  <c r="BA305" i="5"/>
  <c r="BB305" i="5"/>
  <c r="BB318" i="5"/>
  <c r="BA318" i="5"/>
  <c r="BB264" i="5"/>
  <c r="BA264" i="5"/>
  <c r="BB200" i="5"/>
  <c r="BA200" i="5"/>
  <c r="BB212" i="5"/>
  <c r="BA212" i="5"/>
  <c r="BB211" i="5"/>
  <c r="BA211" i="5"/>
  <c r="BA173" i="5"/>
  <c r="BB173" i="5"/>
  <c r="BA164" i="5"/>
  <c r="BB164" i="5"/>
  <c r="BA148" i="5"/>
  <c r="BB148" i="5"/>
  <c r="BB135" i="5"/>
  <c r="BA135" i="5"/>
  <c r="BB140" i="5"/>
  <c r="BA140" i="5"/>
  <c r="BB98" i="5"/>
  <c r="BA98" i="5"/>
  <c r="BA69" i="5"/>
  <c r="BB69" i="5"/>
  <c r="BA66" i="5"/>
  <c r="BB66" i="5"/>
  <c r="BB60" i="5"/>
  <c r="BA60" i="5"/>
  <c r="BA27" i="5"/>
  <c r="BB27" i="5"/>
  <c r="V435" i="5"/>
  <c r="U435" i="5"/>
  <c r="V230" i="5"/>
  <c r="U230" i="5"/>
  <c r="U93" i="5"/>
  <c r="V93" i="5"/>
  <c r="U492" i="5"/>
  <c r="V492" i="5"/>
  <c r="V379" i="5"/>
  <c r="U379" i="5"/>
  <c r="U423" i="5"/>
  <c r="V423" i="5"/>
  <c r="V226" i="5"/>
  <c r="U226" i="5"/>
  <c r="U394" i="5"/>
  <c r="V394" i="5"/>
  <c r="V427" i="5"/>
  <c r="U427" i="5"/>
  <c r="U119" i="5"/>
  <c r="V119" i="5"/>
  <c r="U530" i="5"/>
  <c r="V530" i="5"/>
  <c r="U544" i="5"/>
  <c r="V544" i="5"/>
  <c r="U560" i="5"/>
  <c r="V560" i="5"/>
  <c r="U455" i="5"/>
  <c r="V455" i="5"/>
  <c r="V519" i="5"/>
  <c r="U519" i="5"/>
  <c r="U351" i="5"/>
  <c r="V351" i="5"/>
  <c r="U420" i="5"/>
  <c r="V420" i="5"/>
  <c r="V289" i="5"/>
  <c r="U289" i="5"/>
  <c r="U142" i="5"/>
  <c r="V142" i="5"/>
  <c r="U520" i="5"/>
  <c r="V520" i="5"/>
  <c r="V542" i="5"/>
  <c r="U542" i="5"/>
  <c r="U506" i="5"/>
  <c r="V506" i="5"/>
  <c r="U425" i="5"/>
  <c r="V425" i="5"/>
  <c r="V496" i="5"/>
  <c r="U496" i="5"/>
  <c r="U402" i="5"/>
  <c r="V402" i="5"/>
  <c r="V267" i="5"/>
  <c r="U267" i="5"/>
  <c r="V232" i="5"/>
  <c r="U232" i="5"/>
  <c r="V95" i="5"/>
  <c r="U95" i="5"/>
  <c r="V445" i="5"/>
  <c r="U445" i="5"/>
  <c r="V514" i="5"/>
  <c r="U514" i="5"/>
  <c r="V482" i="5"/>
  <c r="U482" i="5"/>
  <c r="V377" i="5"/>
  <c r="U377" i="5"/>
  <c r="U466" i="5"/>
  <c r="V466" i="5"/>
  <c r="U319" i="5"/>
  <c r="V319" i="5"/>
  <c r="U259" i="5"/>
  <c r="V259" i="5"/>
  <c r="V186" i="5"/>
  <c r="U186" i="5"/>
  <c r="U53" i="5"/>
  <c r="V53" i="5"/>
  <c r="U353" i="5"/>
  <c r="V353" i="5"/>
  <c r="V390" i="5"/>
  <c r="U390" i="5"/>
  <c r="U262" i="5"/>
  <c r="V262" i="5"/>
  <c r="V269" i="5"/>
  <c r="U269" i="5"/>
  <c r="V291" i="5"/>
  <c r="U291" i="5"/>
  <c r="V257" i="5"/>
  <c r="U257" i="5"/>
  <c r="U217" i="5"/>
  <c r="V217" i="5"/>
  <c r="U198" i="5"/>
  <c r="V198" i="5"/>
  <c r="U167" i="5"/>
  <c r="V167" i="5"/>
  <c r="U103" i="5"/>
  <c r="V103" i="5"/>
  <c r="U97" i="5"/>
  <c r="V97" i="5"/>
  <c r="U23" i="5"/>
  <c r="V23" i="5"/>
  <c r="U340" i="5"/>
  <c r="V340" i="5"/>
  <c r="U371" i="5"/>
  <c r="V371" i="5"/>
  <c r="U387" i="5"/>
  <c r="V387" i="5"/>
  <c r="V354" i="5"/>
  <c r="U354" i="5"/>
  <c r="V268" i="5"/>
  <c r="U268" i="5"/>
  <c r="V288" i="5"/>
  <c r="U288" i="5"/>
  <c r="U255" i="5"/>
  <c r="V255" i="5"/>
  <c r="U216" i="5"/>
  <c r="V216" i="5"/>
  <c r="U197" i="5"/>
  <c r="V197" i="5"/>
  <c r="V165" i="5"/>
  <c r="U165" i="5"/>
  <c r="U99" i="5"/>
  <c r="V99" i="5"/>
  <c r="U96" i="5"/>
  <c r="V96" i="5"/>
  <c r="U20" i="5"/>
  <c r="V20" i="5"/>
  <c r="U19" i="5"/>
  <c r="V19" i="5"/>
  <c r="V535" i="5"/>
  <c r="U535" i="5"/>
  <c r="U490" i="5"/>
  <c r="V490" i="5"/>
  <c r="U536" i="5"/>
  <c r="V536" i="5"/>
  <c r="U526" i="5"/>
  <c r="V526" i="5"/>
  <c r="V457" i="5"/>
  <c r="U457" i="5"/>
  <c r="V368" i="5"/>
  <c r="U368" i="5"/>
  <c r="U516" i="5"/>
  <c r="V516" i="5"/>
  <c r="V430" i="5"/>
  <c r="U430" i="5"/>
  <c r="U361" i="5"/>
  <c r="V361" i="5"/>
  <c r="V380" i="5"/>
  <c r="U380" i="5"/>
  <c r="V403" i="5"/>
  <c r="U403" i="5"/>
  <c r="U280" i="5"/>
  <c r="V280" i="5"/>
  <c r="V285" i="5"/>
  <c r="U285" i="5"/>
  <c r="V302" i="5"/>
  <c r="U302" i="5"/>
  <c r="V270" i="5"/>
  <c r="U270" i="5"/>
  <c r="V238" i="5"/>
  <c r="U238" i="5"/>
  <c r="V164" i="5"/>
  <c r="U164" i="5"/>
  <c r="V178" i="5"/>
  <c r="U178" i="5"/>
  <c r="V116" i="5"/>
  <c r="U116" i="5"/>
  <c r="V102" i="5"/>
  <c r="U102" i="5"/>
  <c r="V51" i="5"/>
  <c r="U51" i="5"/>
  <c r="V29" i="5"/>
  <c r="U29" i="5"/>
  <c r="V468" i="5"/>
  <c r="U468" i="5"/>
  <c r="V532" i="5"/>
  <c r="U532" i="5"/>
  <c r="V458" i="5"/>
  <c r="U458" i="5"/>
  <c r="V411" i="5"/>
  <c r="U411" i="5"/>
  <c r="U348" i="5"/>
  <c r="V348" i="5"/>
  <c r="U386" i="5"/>
  <c r="V386" i="5"/>
  <c r="U429" i="5"/>
  <c r="V429" i="5"/>
  <c r="U364" i="5"/>
  <c r="V364" i="5"/>
  <c r="U356" i="5"/>
  <c r="V356" i="5"/>
  <c r="U293" i="5"/>
  <c r="V293" i="5"/>
  <c r="V331" i="5"/>
  <c r="U331" i="5"/>
  <c r="V251" i="5"/>
  <c r="U251" i="5"/>
  <c r="U282" i="5"/>
  <c r="V282" i="5"/>
  <c r="V241" i="5"/>
  <c r="U241" i="5"/>
  <c r="V180" i="5"/>
  <c r="U180" i="5"/>
  <c r="U159" i="5"/>
  <c r="V159" i="5"/>
  <c r="V205" i="5"/>
  <c r="U205" i="5"/>
  <c r="U185" i="5"/>
  <c r="V185" i="5"/>
  <c r="V133" i="5"/>
  <c r="U133" i="5"/>
  <c r="V152" i="5"/>
  <c r="U152" i="5"/>
  <c r="U137" i="5"/>
  <c r="V137" i="5"/>
  <c r="V139" i="5"/>
  <c r="U139" i="5"/>
  <c r="V85" i="5"/>
  <c r="U85" i="5"/>
  <c r="V92" i="5"/>
  <c r="U92" i="5"/>
  <c r="U35" i="5"/>
  <c r="V35" i="5"/>
  <c r="V52" i="5"/>
  <c r="U52" i="5"/>
  <c r="U26" i="5"/>
  <c r="V26" i="5"/>
  <c r="V334" i="5"/>
  <c r="U334" i="5"/>
  <c r="V273" i="5"/>
  <c r="U273" i="5"/>
  <c r="V239" i="5"/>
  <c r="U239" i="5"/>
  <c r="U188" i="5"/>
  <c r="V188" i="5"/>
  <c r="V161" i="5"/>
  <c r="U161" i="5"/>
  <c r="U117" i="5"/>
  <c r="V117" i="5"/>
  <c r="U121" i="5"/>
  <c r="V121" i="5"/>
  <c r="U105" i="5"/>
  <c r="V105" i="5"/>
  <c r="U57" i="5"/>
  <c r="V57" i="5"/>
  <c r="V43" i="5"/>
  <c r="U43" i="5"/>
  <c r="V38" i="5"/>
  <c r="U38" i="5"/>
  <c r="AJ33" i="5"/>
  <c r="AJ141" i="5"/>
  <c r="AJ29" i="5"/>
  <c r="AJ64" i="5"/>
  <c r="AJ97" i="5"/>
  <c r="AJ129" i="5"/>
  <c r="AJ160" i="5"/>
  <c r="AJ176" i="5"/>
  <c r="AJ62" i="5"/>
  <c r="AJ185" i="5"/>
  <c r="AJ203" i="5"/>
  <c r="AJ219" i="5"/>
  <c r="AJ233" i="5"/>
  <c r="AJ255" i="5"/>
  <c r="AJ270" i="5"/>
  <c r="AJ286" i="5"/>
  <c r="AJ302" i="5"/>
  <c r="AJ319" i="5"/>
  <c r="AJ55" i="5"/>
  <c r="AJ107" i="5"/>
  <c r="AJ139" i="5"/>
  <c r="AJ186" i="5"/>
  <c r="AJ202" i="5"/>
  <c r="AJ218" i="5"/>
  <c r="AJ235" i="5"/>
  <c r="AJ20" i="5"/>
  <c r="AJ67" i="5"/>
  <c r="AJ193" i="5"/>
  <c r="AJ212" i="5"/>
  <c r="AJ231" i="5"/>
  <c r="AJ244" i="5"/>
  <c r="AJ252" i="5"/>
  <c r="AJ260" i="5"/>
  <c r="AJ276" i="5"/>
  <c r="AJ292" i="5"/>
  <c r="AJ308" i="5"/>
  <c r="AJ324" i="5"/>
  <c r="AJ194" i="5"/>
  <c r="AJ264" i="5"/>
  <c r="AJ296" i="5"/>
  <c r="AJ321" i="5"/>
  <c r="AJ339" i="5"/>
  <c r="AJ355" i="5"/>
  <c r="AJ371" i="5"/>
  <c r="AJ383" i="5"/>
  <c r="AJ396" i="5"/>
  <c r="AJ462" i="5"/>
  <c r="AJ478" i="5"/>
  <c r="AJ494" i="5"/>
  <c r="AJ509" i="5"/>
  <c r="AJ519" i="5"/>
  <c r="AJ529" i="5"/>
  <c r="AJ543" i="5"/>
  <c r="AJ559" i="5"/>
  <c r="AJ127" i="5"/>
  <c r="AJ221" i="5"/>
  <c r="AJ269" i="5"/>
  <c r="AJ301" i="5"/>
  <c r="AJ318" i="5"/>
  <c r="AJ333" i="5"/>
  <c r="AJ349" i="5"/>
  <c r="AJ365" i="5"/>
  <c r="AJ385" i="5"/>
  <c r="AJ401" i="5"/>
  <c r="AJ417" i="5"/>
  <c r="AJ433" i="5"/>
  <c r="AJ253" i="5"/>
  <c r="AJ271" i="5"/>
  <c r="AJ303" i="5"/>
  <c r="AJ389" i="5"/>
  <c r="AJ403" i="5"/>
  <c r="AJ419" i="5"/>
  <c r="AJ435" i="5"/>
  <c r="AJ451" i="5"/>
  <c r="AJ467" i="5"/>
  <c r="AJ483" i="5"/>
  <c r="AJ499" i="5"/>
  <c r="AJ514" i="5"/>
  <c r="AJ530" i="5"/>
  <c r="AJ540" i="5"/>
  <c r="AJ548" i="5"/>
  <c r="AJ209" i="5"/>
  <c r="AJ344" i="5"/>
  <c r="AJ376" i="5"/>
  <c r="AJ59" i="5"/>
  <c r="AJ157" i="5"/>
  <c r="AJ34" i="5"/>
  <c r="AJ66" i="5"/>
  <c r="AJ101" i="5"/>
  <c r="AJ133" i="5"/>
  <c r="AJ162" i="5"/>
  <c r="AJ180" i="5"/>
  <c r="AJ89" i="5"/>
  <c r="AJ189" i="5"/>
  <c r="AJ207" i="5"/>
  <c r="AJ223" i="5"/>
  <c r="AJ239" i="5"/>
  <c r="AJ259" i="5"/>
  <c r="AJ275" i="5"/>
  <c r="AJ291" i="5"/>
  <c r="AJ307" i="5"/>
  <c r="AJ326" i="5"/>
  <c r="AJ73" i="5"/>
  <c r="AJ115" i="5"/>
  <c r="AJ148" i="5"/>
  <c r="AJ190" i="5"/>
  <c r="AJ206" i="5"/>
  <c r="AJ222" i="5"/>
  <c r="AJ238" i="5"/>
  <c r="AJ30" i="5"/>
  <c r="AJ76" i="5"/>
  <c r="AJ200" i="5"/>
  <c r="AJ216" i="5"/>
  <c r="AJ234" i="5"/>
  <c r="AJ246" i="5"/>
  <c r="AJ254" i="5"/>
  <c r="AJ262" i="5"/>
  <c r="AJ278" i="5"/>
  <c r="AJ294" i="5"/>
  <c r="AJ312" i="5"/>
  <c r="AJ119" i="5"/>
  <c r="AJ227" i="5"/>
  <c r="AJ277" i="5"/>
  <c r="AJ309" i="5"/>
  <c r="AJ325" i="5"/>
  <c r="AJ343" i="5"/>
  <c r="AJ359" i="5"/>
  <c r="AJ375" i="5"/>
  <c r="AJ388" i="5"/>
  <c r="AJ398" i="5"/>
  <c r="AJ464" i="5"/>
  <c r="AJ480" i="5"/>
  <c r="AJ496" i="5"/>
  <c r="AJ511" i="5"/>
  <c r="AJ523" i="5"/>
  <c r="AJ533" i="5"/>
  <c r="AJ547" i="5"/>
  <c r="AJ23" i="5"/>
  <c r="AJ196" i="5"/>
  <c r="AJ230" i="5"/>
  <c r="AJ274" i="5"/>
  <c r="AJ306" i="5"/>
  <c r="B76" i="5"/>
  <c r="AJ91" i="5"/>
  <c r="AJ173" i="5"/>
  <c r="AJ50" i="5"/>
  <c r="AJ82" i="5"/>
  <c r="AJ117" i="5"/>
  <c r="AJ154" i="5"/>
  <c r="AJ170" i="5"/>
  <c r="AJ52" i="5"/>
  <c r="AJ181" i="5"/>
  <c r="AJ199" i="5"/>
  <c r="AJ215" i="5"/>
  <c r="AJ228" i="5"/>
  <c r="AJ251" i="5"/>
  <c r="AJ268" i="5"/>
  <c r="AJ284" i="5"/>
  <c r="AJ300" i="5"/>
  <c r="AJ315" i="5"/>
  <c r="AJ46" i="5"/>
  <c r="AJ99" i="5"/>
  <c r="AJ131" i="5"/>
  <c r="AJ182" i="5"/>
  <c r="AJ198" i="5"/>
  <c r="AJ214" i="5"/>
  <c r="AJ229" i="5"/>
  <c r="AJ242" i="5"/>
  <c r="AJ57" i="5"/>
  <c r="AJ178" i="5"/>
  <c r="AJ208" i="5"/>
  <c r="AJ225" i="5"/>
  <c r="AJ241" i="5"/>
  <c r="AJ250" i="5"/>
  <c r="AJ258" i="5"/>
  <c r="AJ273" i="5"/>
  <c r="AJ289" i="5"/>
  <c r="AJ305" i="5"/>
  <c r="AJ320" i="5"/>
  <c r="AJ179" i="5"/>
  <c r="AJ247" i="5"/>
  <c r="AJ287" i="5"/>
  <c r="AJ317" i="5"/>
  <c r="AJ335" i="5"/>
  <c r="AJ351" i="5"/>
  <c r="AJ367" i="5"/>
  <c r="AJ379" i="5"/>
  <c r="AJ394" i="5"/>
  <c r="AJ459" i="5"/>
  <c r="AJ475" i="5"/>
  <c r="AJ491" i="5"/>
  <c r="AJ507" i="5"/>
  <c r="AJ517" i="5"/>
  <c r="AJ527" i="5"/>
  <c r="AJ539" i="5"/>
  <c r="AJ555" i="5"/>
  <c r="AJ95" i="5"/>
  <c r="AJ213" i="5"/>
  <c r="AJ249" i="5"/>
  <c r="AJ288" i="5"/>
  <c r="AJ314" i="5"/>
  <c r="AJ331" i="5"/>
  <c r="AJ345" i="5"/>
  <c r="AJ361" i="5"/>
  <c r="AJ381" i="5"/>
  <c r="AJ395" i="5"/>
  <c r="AJ413" i="5"/>
  <c r="AJ429" i="5"/>
  <c r="AJ232" i="5"/>
  <c r="AJ266" i="5"/>
  <c r="AJ298" i="5"/>
  <c r="AJ378" i="5"/>
  <c r="AJ399" i="5"/>
  <c r="AJ415" i="5"/>
  <c r="AJ431" i="5"/>
  <c r="AJ447" i="5"/>
  <c r="AJ461" i="5"/>
  <c r="AJ477" i="5"/>
  <c r="AJ493" i="5"/>
  <c r="AJ508" i="5"/>
  <c r="AJ524" i="5"/>
  <c r="AJ538" i="5"/>
  <c r="AJ546" i="5"/>
  <c r="AJ144" i="5"/>
  <c r="AJ336" i="5"/>
  <c r="AJ368" i="5"/>
  <c r="AJ408" i="5"/>
  <c r="AJ161" i="5"/>
  <c r="AJ150" i="5"/>
  <c r="AJ197" i="5"/>
  <c r="AJ265" i="5"/>
  <c r="AJ36" i="5"/>
  <c r="AJ192" i="5"/>
  <c r="AJ39" i="5"/>
  <c r="AJ236" i="5"/>
  <c r="AJ283" i="5"/>
  <c r="AJ237" i="5"/>
  <c r="AJ347" i="5"/>
  <c r="AJ453" i="5"/>
  <c r="AJ513" i="5"/>
  <c r="AJ60" i="5"/>
  <c r="AJ310" i="5"/>
  <c r="AJ341" i="5"/>
  <c r="AJ373" i="5"/>
  <c r="AJ409" i="5"/>
  <c r="AJ135" i="5"/>
  <c r="AJ293" i="5"/>
  <c r="AJ393" i="5"/>
  <c r="AJ427" i="5"/>
  <c r="AJ456" i="5"/>
  <c r="AJ488" i="5"/>
  <c r="AJ520" i="5"/>
  <c r="AJ544" i="5"/>
  <c r="AJ327" i="5"/>
  <c r="AJ400" i="5"/>
  <c r="AJ437" i="5"/>
  <c r="AJ458" i="5"/>
  <c r="AJ490" i="5"/>
  <c r="AJ560" i="5"/>
  <c r="AJ500" i="5"/>
  <c r="AJ541" i="5"/>
  <c r="AJ406" i="5"/>
  <c r="AJ466" i="5"/>
  <c r="AJ263" i="5"/>
  <c r="AJ354" i="5"/>
  <c r="AJ402" i="5"/>
  <c r="AJ434" i="5"/>
  <c r="AJ450" i="5"/>
  <c r="AJ528" i="5"/>
  <c r="AJ436" i="5"/>
  <c r="AJ78" i="5"/>
  <c r="AJ348" i="5"/>
  <c r="AJ380" i="5"/>
  <c r="AJ428" i="5"/>
  <c r="AJ474" i="5"/>
  <c r="AJ506" i="5"/>
  <c r="AJ526" i="5"/>
  <c r="AJ111" i="5"/>
  <c r="AJ334" i="5"/>
  <c r="AJ366" i="5"/>
  <c r="AJ444" i="5"/>
  <c r="AJ554" i="5"/>
  <c r="AJ175" i="5"/>
  <c r="AJ136" i="5"/>
  <c r="AJ31" i="5"/>
  <c r="AJ86" i="5"/>
  <c r="AJ22" i="5"/>
  <c r="AJ132" i="5"/>
  <c r="AJ124" i="5"/>
  <c r="AJ85" i="5"/>
  <c r="AJ163" i="5"/>
  <c r="AJ130" i="5"/>
  <c r="AJ191" i="5"/>
  <c r="AJ110" i="5"/>
  <c r="AJ42" i="5"/>
  <c r="AJ100" i="5"/>
  <c r="AJ79" i="5"/>
  <c r="AJ32" i="5"/>
  <c r="AJ53" i="5"/>
  <c r="AJ45" i="5"/>
  <c r="AJ168" i="5"/>
  <c r="AJ211" i="5"/>
  <c r="AJ281" i="5"/>
  <c r="AJ83" i="5"/>
  <c r="AJ210" i="5"/>
  <c r="AJ142" i="5"/>
  <c r="AJ248" i="5"/>
  <c r="AJ299" i="5"/>
  <c r="AJ282" i="5"/>
  <c r="AJ363" i="5"/>
  <c r="AJ469" i="5"/>
  <c r="AJ525" i="5"/>
  <c r="AJ205" i="5"/>
  <c r="AJ322" i="5"/>
  <c r="AJ353" i="5"/>
  <c r="AJ387" i="5"/>
  <c r="AJ421" i="5"/>
  <c r="AJ257" i="5"/>
  <c r="AJ323" i="5"/>
  <c r="AJ407" i="5"/>
  <c r="AJ439" i="5"/>
  <c r="AJ470" i="5"/>
  <c r="AJ502" i="5"/>
  <c r="AJ532" i="5"/>
  <c r="AJ550" i="5"/>
  <c r="AJ352" i="5"/>
  <c r="AJ416" i="5"/>
  <c r="AJ441" i="5"/>
  <c r="AJ471" i="5"/>
  <c r="AJ503" i="5"/>
  <c r="AJ463" i="5"/>
  <c r="AJ512" i="5"/>
  <c r="AJ549" i="5"/>
  <c r="AJ422" i="5"/>
  <c r="AJ479" i="5"/>
  <c r="AJ329" i="5"/>
  <c r="AJ362" i="5"/>
  <c r="AJ410" i="5"/>
  <c r="AJ438" i="5"/>
  <c r="AJ468" i="5"/>
  <c r="AJ545" i="5"/>
  <c r="AJ452" i="5"/>
  <c r="AJ285" i="5"/>
  <c r="AJ356" i="5"/>
  <c r="AJ404" i="5"/>
  <c r="AJ455" i="5"/>
  <c r="AJ487" i="5"/>
  <c r="AJ510" i="5"/>
  <c r="AJ534" i="5"/>
  <c r="AJ201" i="5"/>
  <c r="AJ342" i="5"/>
  <c r="AJ397" i="5"/>
  <c r="AJ457" i="5"/>
  <c r="AJ120" i="5"/>
  <c r="AJ81" i="5"/>
  <c r="AJ187" i="5"/>
  <c r="AJ70" i="5"/>
  <c r="AJ159" i="5"/>
  <c r="AJ116" i="5"/>
  <c r="AJ104" i="5"/>
  <c r="AJ106" i="5"/>
  <c r="AJ171" i="5"/>
  <c r="AJ134" i="5"/>
  <c r="AJ98" i="5"/>
  <c r="AJ80" i="5"/>
  <c r="AJ25" i="5"/>
  <c r="AJ226" i="5"/>
  <c r="AJ297" i="5"/>
  <c r="AJ123" i="5"/>
  <c r="AJ224" i="5"/>
  <c r="AJ204" i="5"/>
  <c r="AJ256" i="5"/>
  <c r="AJ316" i="5"/>
  <c r="AJ313" i="5"/>
  <c r="AJ377" i="5"/>
  <c r="AJ485" i="5"/>
  <c r="AJ535" i="5"/>
  <c r="AJ245" i="5"/>
  <c r="AJ328" i="5"/>
  <c r="AJ357" i="5"/>
  <c r="AJ392" i="5"/>
  <c r="AJ425" i="5"/>
  <c r="AJ261" i="5"/>
  <c r="AJ332" i="5"/>
  <c r="AJ411" i="5"/>
  <c r="AJ443" i="5"/>
  <c r="AJ472" i="5"/>
  <c r="AJ504" i="5"/>
  <c r="AJ536" i="5"/>
  <c r="AJ552" i="5"/>
  <c r="AJ360" i="5"/>
  <c r="AJ424" i="5"/>
  <c r="AJ445" i="5"/>
  <c r="AJ476" i="5"/>
  <c r="AJ515" i="5"/>
  <c r="AJ473" i="5"/>
  <c r="AJ521" i="5"/>
  <c r="AJ553" i="5"/>
  <c r="AJ440" i="5"/>
  <c r="AJ41" i="5"/>
  <c r="AJ338" i="5"/>
  <c r="AJ370" i="5"/>
  <c r="AJ418" i="5"/>
  <c r="AJ442" i="5"/>
  <c r="AJ482" i="5"/>
  <c r="AJ558" i="5"/>
  <c r="AJ489" i="5"/>
  <c r="AJ304" i="5"/>
  <c r="AJ364" i="5"/>
  <c r="AJ412" i="5"/>
  <c r="AJ460" i="5"/>
  <c r="AJ492" i="5"/>
  <c r="AJ518" i="5"/>
  <c r="AJ556" i="5"/>
  <c r="AJ272" i="5"/>
  <c r="AJ350" i="5"/>
  <c r="AJ414" i="5"/>
  <c r="AJ484" i="5"/>
  <c r="AJ65" i="5"/>
  <c r="AJ128" i="5"/>
  <c r="AJ54" i="5"/>
  <c r="AJ112" i="5"/>
  <c r="AJ149" i="5"/>
  <c r="AJ108" i="5"/>
  <c r="AJ8" i="5"/>
  <c r="AJ140" i="5"/>
  <c r="AJ122" i="5"/>
  <c r="AJ90" i="5"/>
  <c r="AJ126" i="5"/>
  <c r="AJ102" i="5"/>
  <c r="AJ74" i="5"/>
  <c r="AJ51" i="5"/>
  <c r="AJ35" i="5"/>
  <c r="AJ92" i="5"/>
  <c r="AJ26" i="5"/>
  <c r="AJ72" i="5"/>
  <c r="AJ113" i="5"/>
  <c r="AJ177" i="5"/>
  <c r="AJ152" i="5"/>
  <c r="AJ551" i="5"/>
  <c r="AJ405" i="5"/>
  <c r="AJ423" i="5"/>
  <c r="AJ542" i="5"/>
  <c r="AJ449" i="5"/>
  <c r="AJ537" i="5"/>
  <c r="AJ346" i="5"/>
  <c r="AJ505" i="5"/>
  <c r="AJ372" i="5"/>
  <c r="AJ522" i="5"/>
  <c r="AJ430" i="5"/>
  <c r="AJ151" i="5"/>
  <c r="AJ167" i="5"/>
  <c r="AJ118" i="5"/>
  <c r="AJ37" i="5"/>
  <c r="AJ137" i="5"/>
  <c r="AJ240" i="5"/>
  <c r="AJ330" i="5"/>
  <c r="AJ279" i="5"/>
  <c r="AJ103" i="5"/>
  <c r="AJ454" i="5"/>
  <c r="AJ295" i="5"/>
  <c r="AJ481" i="5"/>
  <c r="AJ374" i="5"/>
  <c r="AJ386" i="5"/>
  <c r="AJ382" i="5"/>
  <c r="AJ420" i="5"/>
  <c r="AJ19" i="5"/>
  <c r="AJ498" i="5"/>
  <c r="AJ47" i="5"/>
  <c r="AJ114" i="5"/>
  <c r="AJ69" i="5"/>
  <c r="AJ58" i="5"/>
  <c r="AJ96" i="5"/>
  <c r="AJ21" i="5"/>
  <c r="AJ243" i="5"/>
  <c r="AJ220" i="5"/>
  <c r="AJ390" i="5"/>
  <c r="AJ337" i="5"/>
  <c r="AJ280" i="5"/>
  <c r="AJ486" i="5"/>
  <c r="AJ384" i="5"/>
  <c r="AJ531" i="5"/>
  <c r="AJ448" i="5"/>
  <c r="AJ426" i="5"/>
  <c r="AJ557" i="5"/>
  <c r="AJ465" i="5"/>
  <c r="AJ290" i="5"/>
  <c r="AJ145" i="5"/>
  <c r="AJ94" i="5"/>
  <c r="AJ63" i="5"/>
  <c r="AJ88" i="5"/>
  <c r="AJ311" i="5"/>
  <c r="AJ391" i="5"/>
  <c r="AJ217" i="5"/>
  <c r="AJ358" i="5"/>
  <c r="AJ183" i="5"/>
  <c r="AJ48" i="5"/>
  <c r="AJ267" i="5"/>
  <c r="AJ516" i="5"/>
  <c r="AJ446" i="5"/>
  <c r="AJ155" i="5"/>
  <c r="AJ501" i="5"/>
  <c r="AJ432" i="5"/>
  <c r="AJ340" i="5"/>
  <c r="AJ369" i="5"/>
  <c r="AJ495" i="5"/>
  <c r="AJ38" i="5"/>
  <c r="AJ497" i="5"/>
  <c r="AJ68" i="5"/>
  <c r="B25" i="2"/>
  <c r="H17" i="1"/>
  <c r="AL77" i="5"/>
  <c r="AL24" i="5"/>
  <c r="AK24" i="5"/>
  <c r="AK184" i="5"/>
  <c r="AL184" i="5"/>
  <c r="AK158" i="5"/>
  <c r="AL27" i="5"/>
  <c r="AL105" i="5"/>
  <c r="AK75" i="5"/>
  <c r="AX7" i="5"/>
  <c r="AY7" i="5"/>
  <c r="AL44" i="5"/>
  <c r="AL188" i="5"/>
  <c r="AK169" i="5"/>
  <c r="AL169" i="5"/>
  <c r="AL143" i="5"/>
  <c r="AK143" i="5"/>
  <c r="AK138" i="5"/>
  <c r="AL138" i="5"/>
  <c r="AK166" i="5"/>
  <c r="AL166" i="5"/>
  <c r="AK109" i="5"/>
  <c r="AK43" i="5"/>
  <c r="AL43" i="5"/>
  <c r="AL84" i="5"/>
  <c r="AK84" i="5"/>
  <c r="AK172" i="5"/>
  <c r="AL172" i="5"/>
  <c r="AK56" i="5"/>
  <c r="AL56" i="5"/>
  <c r="AK7" i="5"/>
  <c r="AL7" i="5"/>
  <c r="BA7" i="5"/>
  <c r="BB7" i="5"/>
  <c r="BA48" i="5" l="1"/>
  <c r="BB263" i="5"/>
  <c r="BA285" i="5"/>
  <c r="BB160" i="5"/>
  <c r="BA202" i="5"/>
  <c r="BB97" i="5"/>
  <c r="AK121" i="5"/>
  <c r="AK87" i="5"/>
  <c r="AK147" i="5"/>
  <c r="AK164" i="5"/>
  <c r="AZ12" i="5"/>
  <c r="BA12" i="5" s="1"/>
  <c r="BA64" i="5"/>
  <c r="AJ12" i="5"/>
  <c r="AK12" i="5" s="1"/>
  <c r="AU172" i="5"/>
  <c r="AU103" i="5"/>
  <c r="AU316" i="5"/>
  <c r="BA117" i="5"/>
  <c r="BA266" i="5"/>
  <c r="BB262" i="5"/>
  <c r="AU189" i="5"/>
  <c r="AV276" i="5"/>
  <c r="AL125" i="5"/>
  <c r="AK195" i="5"/>
  <c r="AU28" i="5"/>
  <c r="AU154" i="5"/>
  <c r="AV100" i="5"/>
  <c r="AU328" i="5"/>
  <c r="AV215" i="5"/>
  <c r="AU121" i="5"/>
  <c r="BB131" i="5"/>
  <c r="BB118" i="5"/>
  <c r="BB322" i="5"/>
  <c r="BB163" i="5"/>
  <c r="AU42" i="5"/>
  <c r="AU209" i="5"/>
  <c r="AV142" i="5"/>
  <c r="BB223" i="5"/>
  <c r="AU79" i="5"/>
  <c r="AK174" i="5"/>
  <c r="AU191" i="5"/>
  <c r="AT12" i="5"/>
  <c r="BA351" i="5"/>
  <c r="AW12" i="5"/>
  <c r="AV33" i="5"/>
  <c r="AU33" i="5"/>
  <c r="AV49" i="5"/>
  <c r="AU49" i="5"/>
  <c r="AU560" i="5"/>
  <c r="AV560" i="5"/>
  <c r="AV475" i="5"/>
  <c r="AU475" i="5"/>
  <c r="AV431" i="5"/>
  <c r="AU431" i="5"/>
  <c r="AV119" i="5"/>
  <c r="AU119" i="5"/>
  <c r="AV455" i="5"/>
  <c r="AU455" i="5"/>
  <c r="AU19" i="5"/>
  <c r="AV19" i="5"/>
  <c r="AV546" i="5"/>
  <c r="AU546" i="5"/>
  <c r="AV266" i="5"/>
  <c r="AU266" i="5"/>
  <c r="AU552" i="5"/>
  <c r="AV552" i="5"/>
  <c r="AU256" i="5"/>
  <c r="AV256" i="5"/>
  <c r="AV389" i="5"/>
  <c r="AU389" i="5"/>
  <c r="AU35" i="5"/>
  <c r="AV35" i="5"/>
  <c r="AV482" i="5"/>
  <c r="AU482" i="5"/>
  <c r="AU354" i="5"/>
  <c r="AV354" i="5"/>
  <c r="AV521" i="5"/>
  <c r="AU521" i="5"/>
  <c r="AU454" i="5"/>
  <c r="AV454" i="5"/>
  <c r="AU545" i="5"/>
  <c r="AV545" i="5"/>
  <c r="AV528" i="5"/>
  <c r="AU528" i="5"/>
  <c r="AV498" i="5"/>
  <c r="AU498" i="5"/>
  <c r="AV464" i="5"/>
  <c r="AU464" i="5"/>
  <c r="AU414" i="5"/>
  <c r="AV414" i="5"/>
  <c r="AV374" i="5"/>
  <c r="AU374" i="5"/>
  <c r="AV236" i="5"/>
  <c r="AU236" i="5"/>
  <c r="AV108" i="5"/>
  <c r="AU108" i="5"/>
  <c r="AV446" i="5"/>
  <c r="AU446" i="5"/>
  <c r="AU413" i="5"/>
  <c r="AV413" i="5"/>
  <c r="AU484" i="5"/>
  <c r="AV484" i="5"/>
  <c r="AU463" i="5"/>
  <c r="AV463" i="5"/>
  <c r="AU457" i="5"/>
  <c r="AV457" i="5"/>
  <c r="AU422" i="5"/>
  <c r="AV422" i="5"/>
  <c r="AV409" i="5"/>
  <c r="AU409" i="5"/>
  <c r="AV323" i="5"/>
  <c r="AU323" i="5"/>
  <c r="AV206" i="5"/>
  <c r="AU206" i="5"/>
  <c r="AU68" i="5"/>
  <c r="AV68" i="5"/>
  <c r="AU537" i="5"/>
  <c r="AV537" i="5"/>
  <c r="AU358" i="5"/>
  <c r="AV358" i="5"/>
  <c r="AV554" i="5"/>
  <c r="AU554" i="5"/>
  <c r="AV549" i="5"/>
  <c r="AU549" i="5"/>
  <c r="AV517" i="5"/>
  <c r="AU517" i="5"/>
  <c r="AV481" i="5"/>
  <c r="AU481" i="5"/>
  <c r="AU298" i="5"/>
  <c r="AV298" i="5"/>
  <c r="AV292" i="5"/>
  <c r="AU292" i="5"/>
  <c r="AV171" i="5"/>
  <c r="AU171" i="5"/>
  <c r="AU509" i="5"/>
  <c r="AV509" i="5"/>
  <c r="AV550" i="5"/>
  <c r="AU550" i="5"/>
  <c r="AU478" i="5"/>
  <c r="AV478" i="5"/>
  <c r="AU272" i="5"/>
  <c r="AV272" i="5"/>
  <c r="AU456" i="5"/>
  <c r="AV456" i="5"/>
  <c r="AU518" i="5"/>
  <c r="AV518" i="5"/>
  <c r="AU445" i="5"/>
  <c r="AV445" i="5"/>
  <c r="AV168" i="5"/>
  <c r="AU168" i="5"/>
  <c r="AU352" i="5"/>
  <c r="AV352" i="5"/>
  <c r="AV376" i="5"/>
  <c r="AU376" i="5"/>
  <c r="AU180" i="5"/>
  <c r="AV180" i="5"/>
  <c r="AV388" i="5"/>
  <c r="AU388" i="5"/>
  <c r="AU349" i="5"/>
  <c r="AV349" i="5"/>
  <c r="AU269" i="5"/>
  <c r="AV269" i="5"/>
  <c r="AU258" i="5"/>
  <c r="AV258" i="5"/>
  <c r="AU252" i="5"/>
  <c r="AV252" i="5"/>
  <c r="AV192" i="5"/>
  <c r="AU192" i="5"/>
  <c r="AV140" i="5"/>
  <c r="AU140" i="5"/>
  <c r="AU116" i="5"/>
  <c r="AV116" i="5"/>
  <c r="AU127" i="5"/>
  <c r="AV127" i="5"/>
  <c r="AU72" i="5"/>
  <c r="AV72" i="5"/>
  <c r="AV384" i="5"/>
  <c r="AU384" i="5"/>
  <c r="AU488" i="5"/>
  <c r="AV488" i="5"/>
  <c r="AV350" i="5"/>
  <c r="AU350" i="5"/>
  <c r="AV383" i="5"/>
  <c r="AU383" i="5"/>
  <c r="AV405" i="5"/>
  <c r="AU405" i="5"/>
  <c r="AV326" i="5"/>
  <c r="AU326" i="5"/>
  <c r="AV406" i="5"/>
  <c r="AU406" i="5"/>
  <c r="AU290" i="5"/>
  <c r="AV290" i="5"/>
  <c r="AV313" i="5"/>
  <c r="AU313" i="5"/>
  <c r="AV308" i="5"/>
  <c r="AU308" i="5"/>
  <c r="AU293" i="5"/>
  <c r="AV293" i="5"/>
  <c r="AU188" i="5"/>
  <c r="AV188" i="5"/>
  <c r="AV197" i="5"/>
  <c r="AU197" i="5"/>
  <c r="AV179" i="5"/>
  <c r="AU179" i="5"/>
  <c r="AV151" i="5"/>
  <c r="AU151" i="5"/>
  <c r="AV98" i="5"/>
  <c r="AU98" i="5"/>
  <c r="AU60" i="5"/>
  <c r="AV60" i="5"/>
  <c r="AU380" i="5"/>
  <c r="AV380" i="5"/>
  <c r="AV507" i="5"/>
  <c r="AU507" i="5"/>
  <c r="AV439" i="5"/>
  <c r="AU439" i="5"/>
  <c r="AU483" i="5"/>
  <c r="AV483" i="5"/>
  <c r="AV370" i="5"/>
  <c r="AU370" i="5"/>
  <c r="AU487" i="5"/>
  <c r="AV487" i="5"/>
  <c r="AV346" i="5"/>
  <c r="AU346" i="5"/>
  <c r="AU375" i="5"/>
  <c r="AV375" i="5"/>
  <c r="AV396" i="5"/>
  <c r="AU396" i="5"/>
  <c r="AV321" i="5"/>
  <c r="AU321" i="5"/>
  <c r="AV403" i="5"/>
  <c r="AU403" i="5"/>
  <c r="AU284" i="5"/>
  <c r="AV284" i="5"/>
  <c r="AV303" i="5"/>
  <c r="AU303" i="5"/>
  <c r="AU304" i="5"/>
  <c r="AV304" i="5"/>
  <c r="AV287" i="5"/>
  <c r="AU287" i="5"/>
  <c r="AV166" i="5"/>
  <c r="AU166" i="5"/>
  <c r="AU194" i="5"/>
  <c r="AV194" i="5"/>
  <c r="AV178" i="5"/>
  <c r="AU178" i="5"/>
  <c r="AV148" i="5"/>
  <c r="AU148" i="5"/>
  <c r="AV97" i="5"/>
  <c r="AU97" i="5"/>
  <c r="AU57" i="5"/>
  <c r="AV57" i="5"/>
  <c r="AV155" i="5"/>
  <c r="AU155" i="5"/>
  <c r="AU226" i="5"/>
  <c r="AV226" i="5"/>
  <c r="AU132" i="5"/>
  <c r="AV132" i="5"/>
  <c r="AV519" i="5"/>
  <c r="AU519" i="5"/>
  <c r="AU544" i="5"/>
  <c r="AV544" i="5"/>
  <c r="AV536" i="5"/>
  <c r="AU536" i="5"/>
  <c r="AV531" i="5"/>
  <c r="AU531" i="5"/>
  <c r="AV433" i="5"/>
  <c r="AU433" i="5"/>
  <c r="AU137" i="5"/>
  <c r="AV137" i="5"/>
  <c r="AU432" i="5"/>
  <c r="AV432" i="5"/>
  <c r="AV520" i="5"/>
  <c r="AU520" i="5"/>
  <c r="AU458" i="5"/>
  <c r="AV458" i="5"/>
  <c r="AU330" i="5"/>
  <c r="AV330" i="5"/>
  <c r="AU107" i="5"/>
  <c r="AV107" i="5"/>
  <c r="AV395" i="5"/>
  <c r="AU395" i="5"/>
  <c r="AV392" i="5"/>
  <c r="AU392" i="5"/>
  <c r="AU357" i="5"/>
  <c r="AV357" i="5"/>
  <c r="AV300" i="5"/>
  <c r="AU300" i="5"/>
  <c r="AU50" i="5"/>
  <c r="AV50" i="5"/>
  <c r="AV504" i="5"/>
  <c r="AU504" i="5"/>
  <c r="AV472" i="5"/>
  <c r="AU472" i="5"/>
  <c r="AV469" i="5"/>
  <c r="AU469" i="5"/>
  <c r="AV369" i="5"/>
  <c r="AU369" i="5"/>
  <c r="AV268" i="5"/>
  <c r="AU268" i="5"/>
  <c r="AU174" i="5"/>
  <c r="AV174" i="5"/>
  <c r="AU289" i="5"/>
  <c r="AV289" i="5"/>
  <c r="AU232" i="5"/>
  <c r="AV232" i="5"/>
  <c r="AV158" i="5"/>
  <c r="AU158" i="5"/>
  <c r="AV94" i="5"/>
  <c r="AU94" i="5"/>
  <c r="AU499" i="5"/>
  <c r="AV499" i="5"/>
  <c r="AV404" i="5"/>
  <c r="AU404" i="5"/>
  <c r="AV355" i="5"/>
  <c r="AU355" i="5"/>
  <c r="AV364" i="5"/>
  <c r="AU364" i="5"/>
  <c r="AU196" i="5"/>
  <c r="AV196" i="5"/>
  <c r="AV225" i="5"/>
  <c r="AU225" i="5"/>
  <c r="AU161" i="5"/>
  <c r="AV161" i="5"/>
  <c r="AV85" i="5"/>
  <c r="AU85" i="5"/>
  <c r="AU473" i="5"/>
  <c r="AV473" i="5"/>
  <c r="AU459" i="5"/>
  <c r="AV459" i="5"/>
  <c r="AU425" i="5"/>
  <c r="AV425" i="5"/>
  <c r="AV412" i="5"/>
  <c r="AU412" i="5"/>
  <c r="AV410" i="5"/>
  <c r="AU410" i="5"/>
  <c r="AV421" i="5"/>
  <c r="AU421" i="5"/>
  <c r="AV117" i="5"/>
  <c r="AU117" i="5"/>
  <c r="AV315" i="5"/>
  <c r="AU315" i="5"/>
  <c r="AU193" i="5"/>
  <c r="AV193" i="5"/>
  <c r="AU82" i="5"/>
  <c r="AV82" i="5"/>
  <c r="AV423" i="5"/>
  <c r="AU423" i="5"/>
  <c r="AV529" i="5"/>
  <c r="AU529" i="5"/>
  <c r="AU515" i="5"/>
  <c r="AV515" i="5"/>
  <c r="AV123" i="5"/>
  <c r="AU123" i="5"/>
  <c r="AV535" i="5"/>
  <c r="AU535" i="5"/>
  <c r="AU394" i="5"/>
  <c r="AV394" i="5"/>
  <c r="AV204" i="5"/>
  <c r="AU204" i="5"/>
  <c r="AV470" i="5"/>
  <c r="AU470" i="5"/>
  <c r="AU471" i="5"/>
  <c r="AV471" i="5"/>
  <c r="AV207" i="5"/>
  <c r="AU207" i="5"/>
  <c r="AU449" i="5"/>
  <c r="AV449" i="5"/>
  <c r="AV426" i="5"/>
  <c r="AU426" i="5"/>
  <c r="AV495" i="5"/>
  <c r="AU495" i="5"/>
  <c r="AV476" i="5"/>
  <c r="AU476" i="5"/>
  <c r="AV462" i="5"/>
  <c r="AU462" i="5"/>
  <c r="AV434" i="5"/>
  <c r="AU434" i="5"/>
  <c r="AV339" i="5"/>
  <c r="AU339" i="5"/>
  <c r="AV343" i="5"/>
  <c r="AU343" i="5"/>
  <c r="AV227" i="5"/>
  <c r="AU227" i="5"/>
  <c r="AU80" i="5"/>
  <c r="AV80" i="5"/>
  <c r="AU556" i="5"/>
  <c r="AV556" i="5"/>
  <c r="AU365" i="5"/>
  <c r="AV365" i="5"/>
  <c r="AV441" i="5"/>
  <c r="AU441" i="5"/>
  <c r="AU551" i="5"/>
  <c r="AV551" i="5"/>
  <c r="AV302" i="5"/>
  <c r="AU302" i="5"/>
  <c r="AU493" i="5"/>
  <c r="AV493" i="5"/>
  <c r="AU333" i="5"/>
  <c r="AV333" i="5"/>
  <c r="AU325" i="5"/>
  <c r="AV325" i="5"/>
  <c r="AU125" i="5"/>
  <c r="AV125" i="5"/>
  <c r="AU534" i="5"/>
  <c r="AV534" i="5"/>
  <c r="AU467" i="5"/>
  <c r="AV467" i="5"/>
  <c r="AV555" i="5"/>
  <c r="AU555" i="5"/>
  <c r="AV539" i="5"/>
  <c r="AU539" i="5"/>
  <c r="AV512" i="5"/>
  <c r="AU512" i="5"/>
  <c r="AV485" i="5"/>
  <c r="AU485" i="5"/>
  <c r="AU344" i="5"/>
  <c r="AV344" i="5"/>
  <c r="AU401" i="5"/>
  <c r="AV401" i="5"/>
  <c r="AV277" i="5"/>
  <c r="AU277" i="5"/>
  <c r="AU124" i="5"/>
  <c r="AV124" i="5"/>
  <c r="AV479" i="5"/>
  <c r="AU479" i="5"/>
  <c r="AU543" i="5"/>
  <c r="AV543" i="5"/>
  <c r="AV468" i="5"/>
  <c r="AU468" i="5"/>
  <c r="AV501" i="5"/>
  <c r="AU501" i="5"/>
  <c r="AV435" i="5"/>
  <c r="AU435" i="5"/>
  <c r="AV502" i="5"/>
  <c r="AU502" i="5"/>
  <c r="AV427" i="5"/>
  <c r="AU427" i="5"/>
  <c r="AV411" i="5"/>
  <c r="AU411" i="5"/>
  <c r="AV317" i="5"/>
  <c r="AU317" i="5"/>
  <c r="AU362" i="5"/>
  <c r="AV362" i="5"/>
  <c r="AV429" i="5"/>
  <c r="AU429" i="5"/>
  <c r="AV366" i="5"/>
  <c r="AU366" i="5"/>
  <c r="AV342" i="5"/>
  <c r="AU342" i="5"/>
  <c r="AU244" i="5"/>
  <c r="AV244" i="5"/>
  <c r="AV332" i="5"/>
  <c r="AU332" i="5"/>
  <c r="AU235" i="5"/>
  <c r="AV235" i="5"/>
  <c r="AV223" i="5"/>
  <c r="AU223" i="5"/>
  <c r="AU169" i="5"/>
  <c r="AV169" i="5"/>
  <c r="AV134" i="5"/>
  <c r="AU134" i="5"/>
  <c r="AV101" i="5"/>
  <c r="AU101" i="5"/>
  <c r="AV26" i="5"/>
  <c r="AU26" i="5"/>
  <c r="AV294" i="5"/>
  <c r="AU294" i="5"/>
  <c r="AV466" i="5"/>
  <c r="AU466" i="5"/>
  <c r="AU305" i="5"/>
  <c r="AV305" i="5"/>
  <c r="AV361" i="5"/>
  <c r="AU361" i="5"/>
  <c r="AV387" i="5"/>
  <c r="AU387" i="5"/>
  <c r="AU267" i="5"/>
  <c r="AV267" i="5"/>
  <c r="AV398" i="5"/>
  <c r="AU398" i="5"/>
  <c r="AV359" i="5"/>
  <c r="AU359" i="5"/>
  <c r="AU288" i="5"/>
  <c r="AV288" i="5"/>
  <c r="AU279" i="5"/>
  <c r="AV279" i="5"/>
  <c r="AU263" i="5"/>
  <c r="AV263" i="5"/>
  <c r="AU220" i="5"/>
  <c r="AV220" i="5"/>
  <c r="AU167" i="5"/>
  <c r="AV167" i="5"/>
  <c r="AV147" i="5"/>
  <c r="AU147" i="5"/>
  <c r="AV145" i="5"/>
  <c r="AU145" i="5"/>
  <c r="AU86" i="5"/>
  <c r="AV86" i="5"/>
  <c r="AU40" i="5"/>
  <c r="AV40" i="5"/>
  <c r="AV553" i="5"/>
  <c r="AU553" i="5"/>
  <c r="AV486" i="5"/>
  <c r="AU486" i="5"/>
  <c r="AV337" i="5"/>
  <c r="AU337" i="5"/>
  <c r="AV460" i="5"/>
  <c r="AU460" i="5"/>
  <c r="AU530" i="5"/>
  <c r="AV530" i="5"/>
  <c r="AU451" i="5"/>
  <c r="AV451" i="5"/>
  <c r="AV275" i="5"/>
  <c r="AU275" i="5"/>
  <c r="AU360" i="5"/>
  <c r="AV360" i="5"/>
  <c r="AU386" i="5"/>
  <c r="AV386" i="5"/>
  <c r="AV262" i="5"/>
  <c r="AU262" i="5"/>
  <c r="AU397" i="5"/>
  <c r="AV397" i="5"/>
  <c r="AU356" i="5"/>
  <c r="AV356" i="5"/>
  <c r="AV285" i="5"/>
  <c r="AU285" i="5"/>
  <c r="AV278" i="5"/>
  <c r="AU278" i="5"/>
  <c r="AU260" i="5"/>
  <c r="AV260" i="5"/>
  <c r="AV216" i="5"/>
  <c r="AU216" i="5"/>
  <c r="AU162" i="5"/>
  <c r="AV162" i="5"/>
  <c r="AU144" i="5"/>
  <c r="AV144" i="5"/>
  <c r="AV143" i="5"/>
  <c r="AU143" i="5"/>
  <c r="AU81" i="5"/>
  <c r="AV81" i="5"/>
  <c r="AU45" i="5"/>
  <c r="AV45" i="5"/>
  <c r="AV547" i="5"/>
  <c r="AU547" i="5"/>
  <c r="AV461" i="5"/>
  <c r="AU461" i="5"/>
  <c r="AU281" i="5"/>
  <c r="AV281" i="5"/>
  <c r="AU353" i="5"/>
  <c r="AV353" i="5"/>
  <c r="AV523" i="5"/>
  <c r="AU523" i="5"/>
  <c r="AV542" i="5"/>
  <c r="AU542" i="5"/>
  <c r="AV497" i="5"/>
  <c r="AU497" i="5"/>
  <c r="AU203" i="5"/>
  <c r="AV203" i="5"/>
  <c r="AU503" i="5"/>
  <c r="AV503" i="5"/>
  <c r="AU533" i="5"/>
  <c r="AV533" i="5"/>
  <c r="AV480" i="5"/>
  <c r="AU480" i="5"/>
  <c r="AU390" i="5"/>
  <c r="AV390" i="5"/>
  <c r="AU213" i="5"/>
  <c r="AV213" i="5"/>
  <c r="AV440" i="5"/>
  <c r="AU440" i="5"/>
  <c r="AV465" i="5"/>
  <c r="AU465" i="5"/>
  <c r="AU452" i="5"/>
  <c r="AV452" i="5"/>
  <c r="AV393" i="5"/>
  <c r="AU393" i="5"/>
  <c r="AU186" i="5"/>
  <c r="AV186" i="5"/>
  <c r="AV559" i="5"/>
  <c r="AU559" i="5"/>
  <c r="AU399" i="5"/>
  <c r="AV399" i="5"/>
  <c r="AV331" i="5"/>
  <c r="AU331" i="5"/>
  <c r="AU334" i="5"/>
  <c r="AV334" i="5"/>
  <c r="AU391" i="5"/>
  <c r="AV391" i="5"/>
  <c r="AV400" i="5"/>
  <c r="AU400" i="5"/>
  <c r="AV296" i="5"/>
  <c r="AU296" i="5"/>
  <c r="AU274" i="5"/>
  <c r="AV274" i="5"/>
  <c r="AV185" i="5"/>
  <c r="AU185" i="5"/>
  <c r="AV104" i="5"/>
  <c r="AU104" i="5"/>
  <c r="AU48" i="5"/>
  <c r="AV48" i="5"/>
  <c r="AV419" i="5"/>
  <c r="AU419" i="5"/>
  <c r="AU202" i="5"/>
  <c r="AV202" i="5"/>
  <c r="AV424" i="5"/>
  <c r="AU424" i="5"/>
  <c r="AV338" i="5"/>
  <c r="AU338" i="5"/>
  <c r="AV320" i="5"/>
  <c r="AU320" i="5"/>
  <c r="AU208" i="5"/>
  <c r="AV208" i="5"/>
  <c r="AV120" i="5"/>
  <c r="AU120" i="5"/>
  <c r="AV59" i="5"/>
  <c r="AU59" i="5"/>
  <c r="AV525" i="5"/>
  <c r="AU525" i="5"/>
  <c r="AV496" i="5"/>
  <c r="AU496" i="5"/>
  <c r="AV494" i="5"/>
  <c r="AU494" i="5"/>
  <c r="AV402" i="5"/>
  <c r="AU402" i="5"/>
  <c r="AV340" i="5"/>
  <c r="AU340" i="5"/>
  <c r="AV341" i="5"/>
  <c r="AU341" i="5"/>
  <c r="AV336" i="5"/>
  <c r="AU336" i="5"/>
  <c r="AU222" i="5"/>
  <c r="AV222" i="5"/>
  <c r="AU149" i="5"/>
  <c r="AV149" i="5"/>
  <c r="AV58" i="5"/>
  <c r="AU58" i="5"/>
  <c r="AU381" i="5"/>
  <c r="AV381" i="5"/>
  <c r="AV540" i="5"/>
  <c r="AU540" i="5"/>
  <c r="AV450" i="5"/>
  <c r="AU450" i="5"/>
  <c r="AV527" i="5"/>
  <c r="AU527" i="5"/>
  <c r="AV505" i="5"/>
  <c r="AU505" i="5"/>
  <c r="AV254" i="5"/>
  <c r="AU254" i="5"/>
  <c r="AV522" i="5"/>
  <c r="AU522" i="5"/>
  <c r="AV428" i="5"/>
  <c r="AU428" i="5"/>
  <c r="AV442" i="5"/>
  <c r="AU442" i="5"/>
  <c r="AV76" i="5"/>
  <c r="AU76" i="5"/>
  <c r="AU558" i="5"/>
  <c r="AV558" i="5"/>
  <c r="AU377" i="5"/>
  <c r="AV377" i="5"/>
  <c r="AV444" i="5"/>
  <c r="AU444" i="5"/>
  <c r="AU557" i="5"/>
  <c r="AV557" i="5"/>
  <c r="AV363" i="5"/>
  <c r="AU363" i="5"/>
  <c r="AU508" i="5"/>
  <c r="AV508" i="5"/>
  <c r="AV367" i="5"/>
  <c r="AU367" i="5"/>
  <c r="AV253" i="5"/>
  <c r="AU253" i="5"/>
  <c r="AU170" i="5"/>
  <c r="AV170" i="5"/>
  <c r="AU538" i="5"/>
  <c r="AV538" i="5"/>
  <c r="AU511" i="5"/>
  <c r="AV511" i="5"/>
  <c r="AV532" i="5"/>
  <c r="AU532" i="5"/>
  <c r="AU541" i="5"/>
  <c r="AV541" i="5"/>
  <c r="AV524" i="5"/>
  <c r="AU524" i="5"/>
  <c r="AV491" i="5"/>
  <c r="AU491" i="5"/>
  <c r="AU379" i="5"/>
  <c r="AV379" i="5"/>
  <c r="AU420" i="5"/>
  <c r="AV420" i="5"/>
  <c r="AU309" i="5"/>
  <c r="AV309" i="5"/>
  <c r="AV106" i="5"/>
  <c r="AU106" i="5"/>
  <c r="AU500" i="5"/>
  <c r="AV500" i="5"/>
  <c r="AV430" i="5"/>
  <c r="AU430" i="5"/>
  <c r="AU526" i="5"/>
  <c r="AV526" i="5"/>
  <c r="AU506" i="5"/>
  <c r="AV506" i="5"/>
  <c r="AV477" i="5"/>
  <c r="AU477" i="5"/>
  <c r="AV448" i="5"/>
  <c r="AU448" i="5"/>
  <c r="AV373" i="5"/>
  <c r="AU373" i="5"/>
  <c r="AV231" i="5"/>
  <c r="AU231" i="5"/>
  <c r="AU242" i="5"/>
  <c r="AV242" i="5"/>
  <c r="AU74" i="5"/>
  <c r="AV74" i="5"/>
  <c r="AU416" i="5"/>
  <c r="AV416" i="5"/>
  <c r="AU514" i="5"/>
  <c r="AV514" i="5"/>
  <c r="AU453" i="5"/>
  <c r="AV453" i="5"/>
  <c r="AU490" i="5"/>
  <c r="AV490" i="5"/>
  <c r="AU408" i="5"/>
  <c r="AV408" i="5"/>
  <c r="AU489" i="5"/>
  <c r="AV489" i="5"/>
  <c r="AU371" i="5"/>
  <c r="AV371" i="5"/>
  <c r="AU385" i="5"/>
  <c r="AV385" i="5"/>
  <c r="AU407" i="5"/>
  <c r="AV407" i="5"/>
  <c r="AV329" i="5"/>
  <c r="AU329" i="5"/>
  <c r="AV415" i="5"/>
  <c r="AU415" i="5"/>
  <c r="AV310" i="5"/>
  <c r="AU310" i="5"/>
  <c r="AU318" i="5"/>
  <c r="AV318" i="5"/>
  <c r="AV319" i="5"/>
  <c r="AU319" i="5"/>
  <c r="AU306" i="5"/>
  <c r="AV306" i="5"/>
  <c r="AU212" i="5"/>
  <c r="AV212" i="5"/>
  <c r="AV201" i="5"/>
  <c r="AU201" i="5"/>
  <c r="AV112" i="5"/>
  <c r="AU112" i="5"/>
  <c r="AU99" i="5"/>
  <c r="AV99" i="5"/>
  <c r="AV105" i="5"/>
  <c r="AU105" i="5"/>
  <c r="AU67" i="5"/>
  <c r="AV67" i="5"/>
  <c r="AV513" i="5"/>
  <c r="AU513" i="5"/>
  <c r="AV443" i="5"/>
  <c r="AU443" i="5"/>
  <c r="AV418" i="5"/>
  <c r="AU418" i="5"/>
  <c r="AV351" i="5"/>
  <c r="AU351" i="5"/>
  <c r="AV372" i="5"/>
  <c r="AU372" i="5"/>
  <c r="AV437" i="5"/>
  <c r="AU437" i="5"/>
  <c r="AV382" i="5"/>
  <c r="AU382" i="5"/>
  <c r="AV348" i="5"/>
  <c r="AU348" i="5"/>
  <c r="AV264" i="5"/>
  <c r="AU264" i="5"/>
  <c r="AU241" i="5"/>
  <c r="AV241" i="5"/>
  <c r="AV228" i="5"/>
  <c r="AU228" i="5"/>
  <c r="AU247" i="5"/>
  <c r="AV247" i="5"/>
  <c r="AV95" i="5"/>
  <c r="AU95" i="5"/>
  <c r="AU152" i="5"/>
  <c r="AV152" i="5"/>
  <c r="AU114" i="5"/>
  <c r="AV114" i="5"/>
  <c r="AU73" i="5"/>
  <c r="AV73" i="5"/>
  <c r="AU492" i="5"/>
  <c r="AV492" i="5"/>
  <c r="AV548" i="5"/>
  <c r="AU548" i="5"/>
  <c r="AV474" i="5"/>
  <c r="AU474" i="5"/>
  <c r="AV516" i="5"/>
  <c r="AU516" i="5"/>
  <c r="AV447" i="5"/>
  <c r="AU447" i="5"/>
  <c r="AV510" i="5"/>
  <c r="AU510" i="5"/>
  <c r="AV438" i="5"/>
  <c r="AU438" i="5"/>
  <c r="AV417" i="5"/>
  <c r="AU417" i="5"/>
  <c r="AV347" i="5"/>
  <c r="AU347" i="5"/>
  <c r="AU368" i="5"/>
  <c r="AV368" i="5"/>
  <c r="AV436" i="5"/>
  <c r="AU436" i="5"/>
  <c r="AV378" i="5"/>
  <c r="AU378" i="5"/>
  <c r="AV345" i="5"/>
  <c r="AU345" i="5"/>
  <c r="AV261" i="5"/>
  <c r="AU261" i="5"/>
  <c r="AV219" i="5"/>
  <c r="AU219" i="5"/>
  <c r="AV214" i="5"/>
  <c r="AU214" i="5"/>
  <c r="AU245" i="5"/>
  <c r="AV245" i="5"/>
  <c r="AU184" i="5"/>
  <c r="AV184" i="5"/>
  <c r="AU146" i="5"/>
  <c r="AV146" i="5"/>
  <c r="AU113" i="5"/>
  <c r="AV113" i="5"/>
  <c r="AU70" i="5"/>
  <c r="AV70" i="5"/>
  <c r="AU27" i="5"/>
  <c r="AV27" i="5"/>
  <c r="BA85" i="5"/>
  <c r="BB276" i="5"/>
  <c r="BA54" i="5"/>
  <c r="BA213" i="5"/>
  <c r="BB316" i="5"/>
  <c r="BB133" i="5"/>
  <c r="BB313" i="5"/>
  <c r="BB105" i="5"/>
  <c r="BA88" i="5"/>
  <c r="BB231" i="5"/>
  <c r="BA235" i="5"/>
  <c r="BB109" i="5"/>
  <c r="BB21" i="5"/>
  <c r="BB201" i="5"/>
  <c r="BA339" i="5"/>
  <c r="BB195" i="5"/>
  <c r="BB34" i="5"/>
  <c r="BB241" i="5"/>
  <c r="BB72" i="5"/>
  <c r="BA149" i="5"/>
  <c r="BB225" i="5"/>
  <c r="BB207" i="5"/>
  <c r="BB338" i="5"/>
  <c r="BA76" i="5"/>
  <c r="BB101" i="5"/>
  <c r="BA214" i="5"/>
  <c r="BA317" i="5"/>
  <c r="BA411" i="5"/>
  <c r="BA65" i="5"/>
  <c r="BB145" i="5"/>
  <c r="BB210" i="5"/>
  <c r="BB298" i="5"/>
  <c r="BA41" i="5"/>
  <c r="BA122" i="5"/>
  <c r="BB189" i="5"/>
  <c r="BB306" i="5"/>
  <c r="BB100" i="5"/>
  <c r="BA279" i="5"/>
  <c r="BB147" i="5"/>
  <c r="BA157" i="5"/>
  <c r="BA47" i="5"/>
  <c r="AK71" i="5"/>
  <c r="AL71" i="5"/>
  <c r="AL61" i="5"/>
  <c r="AK61" i="5"/>
  <c r="AK40" i="5"/>
  <c r="AL146" i="5"/>
  <c r="AK146" i="5"/>
  <c r="AK93" i="5"/>
  <c r="AL93" i="5"/>
  <c r="H57" i="1"/>
  <c r="B146" i="2"/>
  <c r="H61" i="1" s="1"/>
  <c r="B143" i="2"/>
  <c r="H59" i="1" s="1"/>
  <c r="AS31" i="5"/>
  <c r="BC31" i="5" s="1"/>
  <c r="AS466" i="5"/>
  <c r="BC466" i="5" s="1"/>
  <c r="AS417" i="5"/>
  <c r="AS422" i="5"/>
  <c r="BC422" i="5" s="1"/>
  <c r="AS497" i="5"/>
  <c r="AS449" i="5"/>
  <c r="AS405" i="5"/>
  <c r="AS492" i="5"/>
  <c r="AS264" i="5"/>
  <c r="AS26" i="5"/>
  <c r="BC26" i="5" s="1"/>
  <c r="AS12" i="5"/>
  <c r="AS287" i="5"/>
  <c r="BC287" i="5" s="1"/>
  <c r="BE287" i="5" s="1"/>
  <c r="AS339" i="5"/>
  <c r="BC339" i="5" s="1"/>
  <c r="AS446" i="5"/>
  <c r="BC446" i="5" s="1"/>
  <c r="AS91" i="5"/>
  <c r="BC91" i="5" s="1"/>
  <c r="AS161" i="5"/>
  <c r="BC161" i="5" s="1"/>
  <c r="AS484" i="5"/>
  <c r="AS310" i="5"/>
  <c r="BC310" i="5" s="1"/>
  <c r="AS50" i="5"/>
  <c r="AS435" i="5"/>
  <c r="BC435" i="5" s="1"/>
  <c r="AS210" i="5"/>
  <c r="BC210" i="5" s="1"/>
  <c r="BE210" i="5" s="1"/>
  <c r="AS71" i="5"/>
  <c r="BC71" i="5" s="1"/>
  <c r="BE71" i="5" s="1"/>
  <c r="AS177" i="5"/>
  <c r="AS540" i="5"/>
  <c r="BC540" i="5" s="1"/>
  <c r="AS511" i="5"/>
  <c r="BC511" i="5" s="1"/>
  <c r="AS444" i="5"/>
  <c r="BC444" i="5" s="1"/>
  <c r="AS548" i="5"/>
  <c r="AS319" i="5"/>
  <c r="BC319" i="5" s="1"/>
  <c r="AS455" i="5"/>
  <c r="AS128" i="5"/>
  <c r="AS528" i="5"/>
  <c r="AS434" i="5"/>
  <c r="BC434" i="5" s="1"/>
  <c r="AS205" i="5"/>
  <c r="AS538" i="5"/>
  <c r="BC538" i="5" s="1"/>
  <c r="AS452" i="5"/>
  <c r="AS265" i="5"/>
  <c r="BC265" i="5" s="1"/>
  <c r="AS64" i="5"/>
  <c r="BC64" i="5" s="1"/>
  <c r="BE64" i="5" s="1"/>
  <c r="AS114" i="5"/>
  <c r="BC114" i="5" s="1"/>
  <c r="BD114" i="5" s="1"/>
  <c r="AS11" i="5"/>
  <c r="AS514" i="5"/>
  <c r="BC514" i="5" s="1"/>
  <c r="AS382" i="5"/>
  <c r="AS373" i="5"/>
  <c r="BC373" i="5" s="1"/>
  <c r="AS500" i="5"/>
  <c r="AS258" i="5"/>
  <c r="BC258" i="5" s="1"/>
  <c r="AS426" i="5"/>
  <c r="AS54" i="5"/>
  <c r="BC54" i="5" s="1"/>
  <c r="AS429" i="5"/>
  <c r="AS439" i="5"/>
  <c r="BC439" i="5" s="1"/>
  <c r="AS208" i="5"/>
  <c r="BC208" i="5" s="1"/>
  <c r="AS240" i="5"/>
  <c r="BC240" i="5" s="1"/>
  <c r="AS550" i="5"/>
  <c r="AS506" i="5"/>
  <c r="BC506" i="5" s="1"/>
  <c r="AS496" i="5"/>
  <c r="AS350" i="5"/>
  <c r="AS159" i="5"/>
  <c r="BC159" i="5" s="1"/>
  <c r="AS33" i="5"/>
  <c r="BC33" i="5" s="1"/>
  <c r="AS164" i="5"/>
  <c r="BC164" i="5" s="1"/>
  <c r="BE164" i="5" s="1"/>
  <c r="AS292" i="5"/>
  <c r="BC292" i="5" s="1"/>
  <c r="AS252" i="5"/>
  <c r="AS418" i="5"/>
  <c r="BC418" i="5" s="1"/>
  <c r="AS43" i="5"/>
  <c r="BC43" i="5" s="1"/>
  <c r="BD43" i="5" s="1"/>
  <c r="AS120" i="5"/>
  <c r="AS219" i="5"/>
  <c r="BC219" i="5" s="1"/>
  <c r="BD219" i="5" s="1"/>
  <c r="AS290" i="5"/>
  <c r="BC290" i="5" s="1"/>
  <c r="AS315" i="5"/>
  <c r="BC315" i="5" s="1"/>
  <c r="BE315" i="5" s="1"/>
  <c r="AS442" i="5"/>
  <c r="BC442" i="5" s="1"/>
  <c r="AS156" i="5"/>
  <c r="BC156" i="5" s="1"/>
  <c r="AS21" i="5"/>
  <c r="AS154" i="5"/>
  <c r="BC154" i="5" s="1"/>
  <c r="AS505" i="5"/>
  <c r="BC505" i="5" s="1"/>
  <c r="AS197" i="5"/>
  <c r="BC197" i="5" s="1"/>
  <c r="AS524" i="5"/>
  <c r="AS390" i="5"/>
  <c r="BC390" i="5" s="1"/>
  <c r="AS359" i="5"/>
  <c r="BC359" i="5" s="1"/>
  <c r="AS101" i="5"/>
  <c r="BC101" i="5" s="1"/>
  <c r="AS200" i="5"/>
  <c r="AS199" i="5"/>
  <c r="BC199" i="5" s="1"/>
  <c r="AS146" i="5"/>
  <c r="BC146" i="5" s="1"/>
  <c r="AS212" i="5"/>
  <c r="BC212" i="5" s="1"/>
  <c r="AS55" i="5"/>
  <c r="BC55" i="5" s="1"/>
  <c r="BD55" i="5" s="1"/>
  <c r="AS460" i="5"/>
  <c r="AS109" i="5"/>
  <c r="BC109" i="5" s="1"/>
  <c r="AS365" i="5"/>
  <c r="AS28" i="5"/>
  <c r="BC28" i="5" s="1"/>
  <c r="AS179" i="5"/>
  <c r="BC179" i="5" s="1"/>
  <c r="AS467" i="5"/>
  <c r="BC467" i="5" s="1"/>
  <c r="AS180" i="5"/>
  <c r="BC180" i="5" s="1"/>
  <c r="BE180" i="5" s="1"/>
  <c r="AS398" i="5"/>
  <c r="BC398" i="5" s="1"/>
  <c r="AS207" i="5"/>
  <c r="AS428" i="5"/>
  <c r="BC428" i="5" s="1"/>
  <c r="AS488" i="5"/>
  <c r="AS306" i="5"/>
  <c r="BC306" i="5" s="1"/>
  <c r="BD306" i="5" s="1"/>
  <c r="AS98" i="5"/>
  <c r="BC98" i="5" s="1"/>
  <c r="BE98" i="5" s="1"/>
  <c r="AS512" i="5"/>
  <c r="BC512" i="5" s="1"/>
  <c r="AS304" i="5"/>
  <c r="AS46" i="5"/>
  <c r="AS202" i="5"/>
  <c r="BC202" i="5" s="1"/>
  <c r="AS337" i="5"/>
  <c r="BC337" i="5" s="1"/>
  <c r="BD337" i="5" s="1"/>
  <c r="AS228" i="5"/>
  <c r="AS552" i="5"/>
  <c r="BC552" i="5" s="1"/>
  <c r="AS157" i="5"/>
  <c r="BC157" i="5" s="1"/>
  <c r="AS355" i="5"/>
  <c r="AS508" i="5"/>
  <c r="AS515" i="5"/>
  <c r="BC515" i="5" s="1"/>
  <c r="AS215" i="5"/>
  <c r="AS29" i="5"/>
  <c r="BC29" i="5" s="1"/>
  <c r="AS454" i="5"/>
  <c r="AS402" i="5"/>
  <c r="BC402" i="5" s="1"/>
  <c r="AS222" i="5"/>
  <c r="BC222" i="5" s="1"/>
  <c r="BE222" i="5" s="1"/>
  <c r="AS84" i="5"/>
  <c r="BC84" i="5" s="1"/>
  <c r="BE84" i="5" s="1"/>
  <c r="AS225" i="5"/>
  <c r="BC225" i="5" s="1"/>
  <c r="AS302" i="5"/>
  <c r="BC302" i="5" s="1"/>
  <c r="AS380" i="5"/>
  <c r="AS86" i="5"/>
  <c r="AS230" i="5"/>
  <c r="AS358" i="5"/>
  <c r="BC358" i="5" s="1"/>
  <c r="AS371" i="5"/>
  <c r="AS149" i="5"/>
  <c r="BC149" i="5" s="1"/>
  <c r="AS192" i="5"/>
  <c r="AS85" i="5"/>
  <c r="BC85" i="5" s="1"/>
  <c r="AS22" i="5"/>
  <c r="BC22" i="5" s="1"/>
  <c r="BD22" i="5" s="1"/>
  <c r="AS234" i="5"/>
  <c r="BC234" i="5" s="1"/>
  <c r="BD234" i="5" s="1"/>
  <c r="AS254" i="5"/>
  <c r="AS403" i="5"/>
  <c r="BC403" i="5" s="1"/>
  <c r="AS106" i="5"/>
  <c r="AS178" i="5"/>
  <c r="BC178" i="5" s="1"/>
  <c r="AS259" i="5"/>
  <c r="AS368" i="5"/>
  <c r="BC368" i="5" s="1"/>
  <c r="AS384" i="5"/>
  <c r="AS143" i="5"/>
  <c r="BC143" i="5" s="1"/>
  <c r="AS66" i="5"/>
  <c r="AS122" i="5"/>
  <c r="BC122" i="5" s="1"/>
  <c r="BD122" i="5" s="1"/>
  <c r="AS99" i="5"/>
  <c r="BC99" i="5" s="1"/>
  <c r="AS36" i="5"/>
  <c r="BC36" i="5" s="1"/>
  <c r="AS267" i="5"/>
  <c r="AS283" i="5"/>
  <c r="BC283" i="5" s="1"/>
  <c r="BD283" i="5" s="1"/>
  <c r="AS425" i="5"/>
  <c r="AS148" i="5"/>
  <c r="BC148" i="5" s="1"/>
  <c r="AS195" i="5"/>
  <c r="BC195" i="5" s="1"/>
  <c r="BD195" i="5" s="1"/>
  <c r="AS271" i="5"/>
  <c r="BC271" i="5" s="1"/>
  <c r="AS386" i="5"/>
  <c r="AS399" i="5"/>
  <c r="AS115" i="5"/>
  <c r="BC115" i="5" s="1"/>
  <c r="BE115" i="5" s="1"/>
  <c r="AS47" i="5"/>
  <c r="BC47" i="5" s="1"/>
  <c r="AS184" i="5"/>
  <c r="BC184" i="5" s="1"/>
  <c r="AS100" i="5"/>
  <c r="BC100" i="5" s="1"/>
  <c r="BE100" i="5" s="1"/>
  <c r="AS45" i="5"/>
  <c r="BC45" i="5" s="1"/>
  <c r="BD45" i="5" s="1"/>
  <c r="AS303" i="5"/>
  <c r="AS409" i="5"/>
  <c r="AS336" i="5"/>
  <c r="BC336" i="5" s="1"/>
  <c r="AS96" i="5"/>
  <c r="AS216" i="5"/>
  <c r="BC216" i="5" s="1"/>
  <c r="AS327" i="5"/>
  <c r="AS324" i="5"/>
  <c r="BC324" i="5" s="1"/>
  <c r="AS357" i="5"/>
  <c r="AS182" i="5"/>
  <c r="BC182" i="5" s="1"/>
  <c r="AS78" i="5"/>
  <c r="BC78" i="5" s="1"/>
  <c r="BE78" i="5" s="1"/>
  <c r="AS172" i="5"/>
  <c r="BC172" i="5" s="1"/>
  <c r="AS142" i="5"/>
  <c r="AS37" i="5"/>
  <c r="BC37" i="5" s="1"/>
  <c r="AS522" i="5"/>
  <c r="AS366" i="5"/>
  <c r="AS165" i="5"/>
  <c r="AS322" i="5"/>
  <c r="AS110" i="5"/>
  <c r="BC110" i="5" s="1"/>
  <c r="AS464" i="5"/>
  <c r="AS51" i="5"/>
  <c r="BC51" i="5" s="1"/>
  <c r="BD51" i="5" s="1"/>
  <c r="AS471" i="5"/>
  <c r="AS438" i="5"/>
  <c r="BC438" i="5" s="1"/>
  <c r="AS556" i="5"/>
  <c r="BC556" i="5" s="1"/>
  <c r="AS479" i="5"/>
  <c r="AS489" i="5"/>
  <c r="BC489" i="5" s="1"/>
  <c r="AS389" i="5"/>
  <c r="AS558" i="5"/>
  <c r="BC558" i="5" s="1"/>
  <c r="AS342" i="5"/>
  <c r="AS56" i="5"/>
  <c r="BC56" i="5" s="1"/>
  <c r="AS13" i="5"/>
  <c r="AS256" i="5"/>
  <c r="AS547" i="5"/>
  <c r="AS223" i="5"/>
  <c r="BC223" i="5" s="1"/>
  <c r="BE223" i="5" s="1"/>
  <c r="AS81" i="5"/>
  <c r="BC81" i="5" s="1"/>
  <c r="AS313" i="5"/>
  <c r="BC313" i="5" s="1"/>
  <c r="AS473" i="5"/>
  <c r="AS340" i="5"/>
  <c r="BC340" i="5" s="1"/>
  <c r="AS27" i="5"/>
  <c r="AS516" i="5"/>
  <c r="BC516" i="5" s="1"/>
  <c r="AS139" i="5"/>
  <c r="BC139" i="5" s="1"/>
  <c r="AS93" i="5"/>
  <c r="BC93" i="5" s="1"/>
  <c r="AS430" i="5"/>
  <c r="AS494" i="5"/>
  <c r="BC494" i="5" s="1"/>
  <c r="AS551" i="5"/>
  <c r="AS485" i="5"/>
  <c r="BC485" i="5" s="1"/>
  <c r="AS23" i="5"/>
  <c r="BC23" i="5" s="1"/>
  <c r="BE23" i="5" s="1"/>
  <c r="AS227" i="5"/>
  <c r="BC227" i="5" s="1"/>
  <c r="AS519" i="5"/>
  <c r="AS397" i="5"/>
  <c r="BC397" i="5" s="1"/>
  <c r="AS299" i="5"/>
  <c r="BC299" i="5" s="1"/>
  <c r="BD299" i="5" s="1"/>
  <c r="AS443" i="5"/>
  <c r="BC443" i="5" s="1"/>
  <c r="AS498" i="5"/>
  <c r="AS407" i="5"/>
  <c r="BC407" i="5" s="1"/>
  <c r="AS111" i="5"/>
  <c r="BC111" i="5" s="1"/>
  <c r="AS116" i="5"/>
  <c r="BC116" i="5" s="1"/>
  <c r="AS231" i="5"/>
  <c r="AS367" i="5"/>
  <c r="BC367" i="5" s="1"/>
  <c r="AS388" i="5"/>
  <c r="BC388" i="5" s="1"/>
  <c r="AS123" i="5"/>
  <c r="AS282" i="5"/>
  <c r="AS354" i="5"/>
  <c r="BC354" i="5" s="1"/>
  <c r="AS348" i="5"/>
  <c r="AS57" i="5"/>
  <c r="AS152" i="5"/>
  <c r="BC152" i="5" s="1"/>
  <c r="AS97" i="5"/>
  <c r="BC97" i="5" s="1"/>
  <c r="BE97" i="5" s="1"/>
  <c r="AS201" i="5"/>
  <c r="BC201" i="5" s="1"/>
  <c r="AS321" i="5"/>
  <c r="BC321" i="5" s="1"/>
  <c r="AS361" i="5"/>
  <c r="AS472" i="5"/>
  <c r="BC472" i="5" s="1"/>
  <c r="AS140" i="5"/>
  <c r="BC140" i="5" s="1"/>
  <c r="AS238" i="5"/>
  <c r="BC238" i="5" s="1"/>
  <c r="AS198" i="5"/>
  <c r="BC198" i="5" s="1"/>
  <c r="BD198" i="5" s="1"/>
  <c r="AS193" i="5"/>
  <c r="BC193" i="5" s="1"/>
  <c r="AS394" i="5"/>
  <c r="AS131" i="5"/>
  <c r="BC131" i="5" s="1"/>
  <c r="AS25" i="5"/>
  <c r="AS141" i="5"/>
  <c r="BC141" i="5" s="1"/>
  <c r="BD141" i="5" s="1"/>
  <c r="AS48" i="5"/>
  <c r="BC48" i="5" s="1"/>
  <c r="BD48" i="5" s="1"/>
  <c r="AS266" i="5"/>
  <c r="BC266" i="5" s="1"/>
  <c r="AS331" i="5"/>
  <c r="AS383" i="5"/>
  <c r="BC383" i="5" s="1"/>
  <c r="AS490" i="5"/>
  <c r="AS155" i="5"/>
  <c r="BC155" i="5" s="1"/>
  <c r="AS194" i="5"/>
  <c r="BC194" i="5" s="1"/>
  <c r="AS247" i="5"/>
  <c r="BC247" i="5" s="1"/>
  <c r="AS257" i="5"/>
  <c r="AS406" i="5"/>
  <c r="AS117" i="5"/>
  <c r="BC117" i="5" s="1"/>
  <c r="AS40" i="5"/>
  <c r="BC40" i="5" s="1"/>
  <c r="AS121" i="5"/>
  <c r="BC121" i="5" s="1"/>
  <c r="AS75" i="5"/>
  <c r="BC75" i="5" s="1"/>
  <c r="BD75" i="5" s="1"/>
  <c r="AS214" i="5"/>
  <c r="AS284" i="5"/>
  <c r="BC284" i="5" s="1"/>
  <c r="AS312" i="5"/>
  <c r="BC312" i="5" s="1"/>
  <c r="AS436" i="5"/>
  <c r="BC436" i="5" s="1"/>
  <c r="AS102" i="5"/>
  <c r="AS217" i="5"/>
  <c r="AS291" i="5"/>
  <c r="AS396" i="5"/>
  <c r="BC396" i="5" s="1"/>
  <c r="AS416" i="5"/>
  <c r="AS88" i="5"/>
  <c r="BC88" i="5" s="1"/>
  <c r="AS65" i="5"/>
  <c r="AS169" i="5"/>
  <c r="BC169" i="5" s="1"/>
  <c r="AS83" i="5"/>
  <c r="BC83" i="5" s="1"/>
  <c r="BD83" i="5" s="1"/>
  <c r="AS445" i="5"/>
  <c r="BC445" i="5" s="1"/>
  <c r="AS504" i="5"/>
  <c r="BC504" i="5" s="1"/>
  <c r="AS493" i="5"/>
  <c r="BC493" i="5" s="1"/>
  <c r="AS135" i="5"/>
  <c r="AS235" i="5"/>
  <c r="BC235" i="5" s="1"/>
  <c r="AS468" i="5"/>
  <c r="AS241" i="5"/>
  <c r="BC241" i="5" s="1"/>
  <c r="AS333" i="5"/>
  <c r="AS539" i="5"/>
  <c r="BC539" i="5" s="1"/>
  <c r="AS408" i="5"/>
  <c r="AS502" i="5"/>
  <c r="BC502" i="5" s="1"/>
  <c r="AS459" i="5"/>
  <c r="AS431" i="5"/>
  <c r="BC431" i="5" s="1"/>
  <c r="AS173" i="5"/>
  <c r="BC173" i="5" s="1"/>
  <c r="AS534" i="5"/>
  <c r="BC534" i="5" s="1"/>
  <c r="AS250" i="5"/>
  <c r="AS535" i="5"/>
  <c r="BC535" i="5" s="1"/>
  <c r="AS463" i="5"/>
  <c r="AS82" i="5"/>
  <c r="BC82" i="5" s="1"/>
  <c r="BD82" i="5" s="1"/>
  <c r="AS423" i="5"/>
  <c r="AS63" i="5"/>
  <c r="BC63" i="5" s="1"/>
  <c r="AS253" i="5"/>
  <c r="AS456" i="5"/>
  <c r="BC456" i="5" s="1"/>
  <c r="AS183" i="5"/>
  <c r="BC183" i="5" s="1"/>
  <c r="AS118" i="5"/>
  <c r="BC118" i="5" s="1"/>
  <c r="AS138" i="5"/>
  <c r="BC138" i="5" s="1"/>
  <c r="AS308" i="5"/>
  <c r="BC308" i="5" s="1"/>
  <c r="AS334" i="5"/>
  <c r="AS181" i="5"/>
  <c r="BC181" i="5" s="1"/>
  <c r="AS305" i="5"/>
  <c r="BC305" i="5" s="1"/>
  <c r="BE305" i="5" s="1"/>
  <c r="AS458" i="5"/>
  <c r="BC458" i="5" s="1"/>
  <c r="AS211" i="5"/>
  <c r="BC211" i="5" s="1"/>
  <c r="AS53" i="5"/>
  <c r="BC53" i="5" s="1"/>
  <c r="BD53" i="5" s="1"/>
  <c r="AS301" i="5"/>
  <c r="AS60" i="5"/>
  <c r="BC60" i="5" s="1"/>
  <c r="AS246" i="5"/>
  <c r="AS369" i="5"/>
  <c r="BC369" i="5" s="1"/>
  <c r="BE369" i="5" s="1"/>
  <c r="AS104" i="5"/>
  <c r="BC104" i="5" s="1"/>
  <c r="AS133" i="5"/>
  <c r="BC133" i="5" s="1"/>
  <c r="BD133" i="5" s="1"/>
  <c r="AS279" i="5"/>
  <c r="BC279" i="5" s="1"/>
  <c r="AS404" i="5"/>
  <c r="BC404" i="5" s="1"/>
  <c r="AS127" i="5"/>
  <c r="BC127" i="5" s="1"/>
  <c r="BD127" i="5" s="1"/>
  <c r="AS268" i="5"/>
  <c r="BC268" i="5" s="1"/>
  <c r="AS433" i="5"/>
  <c r="AS42" i="5"/>
  <c r="BC42" i="5" s="1"/>
  <c r="AS35" i="5"/>
  <c r="BC35" i="5" s="1"/>
  <c r="BE35" i="5" s="1"/>
  <c r="AS320" i="5"/>
  <c r="BC320" i="5" s="1"/>
  <c r="AS410" i="5"/>
  <c r="AS124" i="5"/>
  <c r="BC124" i="5" s="1"/>
  <c r="AS326" i="5"/>
  <c r="BC326" i="5" s="1"/>
  <c r="AS39" i="5"/>
  <c r="BC39" i="5" s="1"/>
  <c r="AS103" i="5"/>
  <c r="AS391" i="5"/>
  <c r="BC391" i="5" s="1"/>
  <c r="AS220" i="5"/>
  <c r="AS518" i="5"/>
  <c r="AS343" i="5"/>
  <c r="AS381" i="5"/>
  <c r="AS105" i="5"/>
  <c r="BC105" i="5" s="1"/>
  <c r="AS134" i="5"/>
  <c r="BC134" i="5" s="1"/>
  <c r="AS349" i="5"/>
  <c r="AS125" i="5"/>
  <c r="BC125" i="5" s="1"/>
  <c r="AS196" i="5"/>
  <c r="BC196" i="5" s="1"/>
  <c r="AS176" i="5"/>
  <c r="BC176" i="5" s="1"/>
  <c r="AS542" i="5"/>
  <c r="AS170" i="5"/>
  <c r="BC170" i="5" s="1"/>
  <c r="AS483" i="5"/>
  <c r="AS332" i="5"/>
  <c r="BC332" i="5" s="1"/>
  <c r="AS187" i="5"/>
  <c r="AS224" i="5"/>
  <c r="BC224" i="5" s="1"/>
  <c r="AS448" i="5"/>
  <c r="AS24" i="5"/>
  <c r="BC24" i="5" s="1"/>
  <c r="AS364" i="5"/>
  <c r="AS527" i="5"/>
  <c r="BC527" i="5" s="1"/>
  <c r="AS520" i="5"/>
  <c r="BC520" i="5" s="1"/>
  <c r="AS32" i="5"/>
  <c r="BC32" i="5" s="1"/>
  <c r="AS531" i="5"/>
  <c r="AS513" i="5"/>
  <c r="BC513" i="5" s="1"/>
  <c r="AS377" i="5"/>
  <c r="AS507" i="5"/>
  <c r="BC507" i="5" s="1"/>
  <c r="AS144" i="5"/>
  <c r="BC144" i="5" s="1"/>
  <c r="BD144" i="5" s="1"/>
  <c r="AS263" i="5"/>
  <c r="BC263" i="5" s="1"/>
  <c r="BE263" i="5" s="1"/>
  <c r="AS34" i="5"/>
  <c r="AS323" i="5"/>
  <c r="BC323" i="5" s="1"/>
  <c r="AS38" i="5"/>
  <c r="BC38" i="5" s="1"/>
  <c r="BD38" i="5" s="1"/>
  <c r="AS307" i="5"/>
  <c r="BC307" i="5" s="1"/>
  <c r="AS163" i="5"/>
  <c r="BC163" i="5" s="1"/>
  <c r="BD163" i="5" s="1"/>
  <c r="AS112" i="5"/>
  <c r="BC112" i="5" s="1"/>
  <c r="BE112" i="5" s="1"/>
  <c r="AS269" i="5"/>
  <c r="BC269" i="5" s="1"/>
  <c r="BE269" i="5" s="1"/>
  <c r="AS395" i="5"/>
  <c r="BC395" i="5" s="1"/>
  <c r="AS204" i="5"/>
  <c r="AS255" i="5"/>
  <c r="BC255" i="5" s="1"/>
  <c r="AS162" i="5"/>
  <c r="AS168" i="5"/>
  <c r="BC168" i="5" s="1"/>
  <c r="BD168" i="5" s="1"/>
  <c r="AS62" i="5"/>
  <c r="AS393" i="5"/>
  <c r="BC393" i="5" s="1"/>
  <c r="BD393" i="5" s="1"/>
  <c r="AS79" i="5"/>
  <c r="AS311" i="5"/>
  <c r="BC311" i="5" s="1"/>
  <c r="AS335" i="5"/>
  <c r="BC335" i="5" s="1"/>
  <c r="AS74" i="5"/>
  <c r="BC74" i="5" s="1"/>
  <c r="AS160" i="5"/>
  <c r="BC160" i="5" s="1"/>
  <c r="AS171" i="5"/>
  <c r="BC171" i="5" s="1"/>
  <c r="AS370" i="5"/>
  <c r="AS175" i="5"/>
  <c r="BC175" i="5" s="1"/>
  <c r="BE175" i="5" s="1"/>
  <c r="AS341" i="5"/>
  <c r="AS174" i="5"/>
  <c r="BC174" i="5" s="1"/>
  <c r="AS158" i="5"/>
  <c r="BC158" i="5" s="1"/>
  <c r="BE158" i="5" s="1"/>
  <c r="AS58" i="5"/>
  <c r="BC58" i="5" s="1"/>
  <c r="AS206" i="5"/>
  <c r="BC206" i="5" s="1"/>
  <c r="AS486" i="5"/>
  <c r="BC486" i="5" s="1"/>
  <c r="AS376" i="5"/>
  <c r="BC376" i="5" s="1"/>
  <c r="AS378" i="5"/>
  <c r="AS530" i="5"/>
  <c r="AS153" i="5"/>
  <c r="BC153" i="5" s="1"/>
  <c r="AS526" i="5"/>
  <c r="AS328" i="5"/>
  <c r="BC328" i="5" s="1"/>
  <c r="AS461" i="5"/>
  <c r="AS20" i="5"/>
  <c r="BC20" i="5" s="1"/>
  <c r="AS451" i="5"/>
  <c r="AS145" i="5"/>
  <c r="BC145" i="5" s="1"/>
  <c r="AS441" i="5"/>
  <c r="AS69" i="5"/>
  <c r="BC69" i="5" s="1"/>
  <c r="AS274" i="5"/>
  <c r="BC274" i="5" s="1"/>
  <c r="AS237" i="5"/>
  <c r="BC237" i="5" s="1"/>
  <c r="BD237" i="5" s="1"/>
  <c r="AS147" i="5"/>
  <c r="BC147" i="5" s="1"/>
  <c r="AS346" i="5"/>
  <c r="BC346" i="5" s="1"/>
  <c r="AS475" i="5"/>
  <c r="AS30" i="5"/>
  <c r="BC30" i="5" s="1"/>
  <c r="AS203" i="5"/>
  <c r="AS107" i="5"/>
  <c r="AS457" i="5"/>
  <c r="AS419" i="5"/>
  <c r="BC419" i="5" s="1"/>
  <c r="AS517" i="5"/>
  <c r="AS420" i="5"/>
  <c r="BC420" i="5" s="1"/>
  <c r="AS248" i="5"/>
  <c r="BC248" i="5" s="1"/>
  <c r="AS544" i="5"/>
  <c r="BC544" i="5" s="1"/>
  <c r="AS213" i="5"/>
  <c r="BC213" i="5" s="1"/>
  <c r="AS330" i="5"/>
  <c r="BC330" i="5" s="1"/>
  <c r="AS374" i="5"/>
  <c r="AS229" i="5"/>
  <c r="BC229" i="5" s="1"/>
  <c r="AS411" i="5"/>
  <c r="BC411" i="5" s="1"/>
  <c r="AS72" i="5"/>
  <c r="BC72" i="5" s="1"/>
  <c r="AS297" i="5"/>
  <c r="AS61" i="5"/>
  <c r="BC61" i="5" s="1"/>
  <c r="BD61" i="5" s="1"/>
  <c r="AS413" i="5"/>
  <c r="AS277" i="5"/>
  <c r="BC277" i="5" s="1"/>
  <c r="AS44" i="5"/>
  <c r="BC44" i="5" s="1"/>
  <c r="BD44" i="5" s="1"/>
  <c r="AS270" i="5"/>
  <c r="BC270" i="5" s="1"/>
  <c r="AS95" i="5"/>
  <c r="AS482" i="5"/>
  <c r="BC482" i="5" s="1"/>
  <c r="AS529" i="5"/>
  <c r="AS151" i="5"/>
  <c r="BC151" i="5" s="1"/>
  <c r="AS67" i="5"/>
  <c r="AS167" i="5"/>
  <c r="BC167" i="5" s="1"/>
  <c r="AS375" i="5"/>
  <c r="AS314" i="5"/>
  <c r="BC314" i="5" s="1"/>
  <c r="AS300" i="5"/>
  <c r="AS166" i="5"/>
  <c r="BC166" i="5" s="1"/>
  <c r="BE166" i="5" s="1"/>
  <c r="AS76" i="5"/>
  <c r="BC76" i="5" s="1"/>
  <c r="AS41" i="5"/>
  <c r="BC41" i="5" s="1"/>
  <c r="BD41" i="5" s="1"/>
  <c r="AS347" i="5"/>
  <c r="AS325" i="5"/>
  <c r="BC325" i="5" s="1"/>
  <c r="AS137" i="5"/>
  <c r="BC137" i="5" s="1"/>
  <c r="AS189" i="5"/>
  <c r="BC189" i="5" s="1"/>
  <c r="AS352" i="5"/>
  <c r="AS295" i="5"/>
  <c r="BC295" i="5" s="1"/>
  <c r="AS244" i="5"/>
  <c r="AS474" i="5"/>
  <c r="BC474" i="5" s="1"/>
  <c r="AS119" i="5"/>
  <c r="BC119" i="5" s="1"/>
  <c r="BD119" i="5" s="1"/>
  <c r="AS338" i="5"/>
  <c r="BC338" i="5" s="1"/>
  <c r="BD338" i="5" s="1"/>
  <c r="AS239" i="5"/>
  <c r="BC239" i="5" s="1"/>
  <c r="AS89" i="5"/>
  <c r="BC89" i="5" s="1"/>
  <c r="AS260" i="5"/>
  <c r="AS278" i="5"/>
  <c r="BC278" i="5" s="1"/>
  <c r="BD278" i="5" s="1"/>
  <c r="AS232" i="5"/>
  <c r="BC232" i="5" s="1"/>
  <c r="AS52" i="5"/>
  <c r="BC52" i="5" s="1"/>
  <c r="AS77" i="5"/>
  <c r="AS249" i="5"/>
  <c r="BC249" i="5" s="1"/>
  <c r="AS288" i="5"/>
  <c r="BC288" i="5" s="1"/>
  <c r="AS186" i="5"/>
  <c r="BC186" i="5" s="1"/>
  <c r="AS130" i="5"/>
  <c r="BC130" i="5" s="1"/>
  <c r="BE130" i="5" s="1"/>
  <c r="AS49" i="5"/>
  <c r="BC49" i="5" s="1"/>
  <c r="AS385" i="5"/>
  <c r="BC385" i="5" s="1"/>
  <c r="AS480" i="5"/>
  <c r="BC480" i="5" s="1"/>
  <c r="AS316" i="5"/>
  <c r="BC316" i="5" s="1"/>
  <c r="BD316" i="5" s="1"/>
  <c r="AS87" i="5"/>
  <c r="BC87" i="5" s="1"/>
  <c r="AS465" i="5"/>
  <c r="BC465" i="5" s="1"/>
  <c r="AS363" i="5"/>
  <c r="BC363" i="5" s="1"/>
  <c r="AS424" i="5"/>
  <c r="BC424" i="5" s="1"/>
  <c r="AS281" i="5"/>
  <c r="BC281" i="5" s="1"/>
  <c r="AS537" i="5"/>
  <c r="AS275" i="5"/>
  <c r="BC275" i="5" s="1"/>
  <c r="AS372" i="5"/>
  <c r="AS129" i="5"/>
  <c r="BC129" i="5" s="1"/>
  <c r="AS427" i="5"/>
  <c r="BC427" i="5" s="1"/>
  <c r="AS108" i="5"/>
  <c r="BC108" i="5" s="1"/>
  <c r="AS421" i="5"/>
  <c r="AS543" i="5"/>
  <c r="BC543" i="5" s="1"/>
  <c r="BE543" i="5" s="1"/>
  <c r="AS7" i="5"/>
  <c r="BC7" i="5" s="1"/>
  <c r="BD7" i="5" s="1"/>
  <c r="AS555" i="5"/>
  <c r="BC555" i="5" s="1"/>
  <c r="BE555" i="5" s="1"/>
  <c r="AS509" i="5"/>
  <c r="AS491" i="5"/>
  <c r="BC491" i="5" s="1"/>
  <c r="AS440" i="5"/>
  <c r="AS94" i="5"/>
  <c r="BC94" i="5" s="1"/>
  <c r="BD94" i="5" s="1"/>
  <c r="AS437" i="5"/>
  <c r="BC437" i="5" s="1"/>
  <c r="AS285" i="5"/>
  <c r="BC285" i="5" s="1"/>
  <c r="AS545" i="5"/>
  <c r="BC545" i="5" s="1"/>
  <c r="AS549" i="5"/>
  <c r="BC549" i="5" s="1"/>
  <c r="BE549" i="5" s="1"/>
  <c r="AS136" i="5"/>
  <c r="BC136" i="5" s="1"/>
  <c r="AS296" i="5"/>
  <c r="BC296" i="5" s="1"/>
  <c r="BD296" i="5" s="1"/>
  <c r="AS262" i="5"/>
  <c r="BC262" i="5" s="1"/>
  <c r="BE262" i="5" s="1"/>
  <c r="AS245" i="5"/>
  <c r="BC245" i="5" s="1"/>
  <c r="BD245" i="5" s="1"/>
  <c r="AS289" i="5"/>
  <c r="BC289" i="5" s="1"/>
  <c r="AS280" i="5"/>
  <c r="AS59" i="5"/>
  <c r="BC59" i="5" s="1"/>
  <c r="BE59" i="5" s="1"/>
  <c r="AS190" i="5"/>
  <c r="BC190" i="5" s="1"/>
  <c r="AS559" i="5"/>
  <c r="BC559" i="5" s="1"/>
  <c r="AS226" i="5"/>
  <c r="BC226" i="5" s="1"/>
  <c r="AS309" i="5"/>
  <c r="BC309" i="5" s="1"/>
  <c r="AS185" i="5"/>
  <c r="BC185" i="5" s="1"/>
  <c r="AS379" i="5"/>
  <c r="AS242" i="5"/>
  <c r="BC242" i="5" s="1"/>
  <c r="AS553" i="5"/>
  <c r="BC553" i="5" s="1"/>
  <c r="AS362" i="5"/>
  <c r="BC362" i="5" s="1"/>
  <c r="AS150" i="5"/>
  <c r="BC150" i="5" s="1"/>
  <c r="AS525" i="5"/>
  <c r="BC525" i="5" s="1"/>
  <c r="AS345" i="5"/>
  <c r="AS92" i="5"/>
  <c r="BC92" i="5" s="1"/>
  <c r="AS298" i="5"/>
  <c r="BC298" i="5" s="1"/>
  <c r="AS191" i="5"/>
  <c r="BC191" i="5" s="1"/>
  <c r="BE191" i="5" s="1"/>
  <c r="AS462" i="5"/>
  <c r="BC462" i="5" s="1"/>
  <c r="BD462" i="5" s="1"/>
  <c r="AS432" i="5"/>
  <c r="BC432" i="5" s="1"/>
  <c r="AS412" i="5"/>
  <c r="BC412" i="5" s="1"/>
  <c r="AS521" i="5"/>
  <c r="BC521" i="5" s="1"/>
  <c r="BD521" i="5" s="1"/>
  <c r="AS353" i="5"/>
  <c r="AS401" i="5"/>
  <c r="BC401" i="5" s="1"/>
  <c r="AS90" i="5"/>
  <c r="AS453" i="5"/>
  <c r="BC453" i="5" s="1"/>
  <c r="BD453" i="5" s="1"/>
  <c r="AS450" i="5"/>
  <c r="BC450" i="5" s="1"/>
  <c r="AS360" i="5"/>
  <c r="BC360" i="5" s="1"/>
  <c r="AS344" i="5"/>
  <c r="AS392" i="5"/>
  <c r="BC392" i="5" s="1"/>
  <c r="AS251" i="5"/>
  <c r="BC251" i="5" s="1"/>
  <c r="AS510" i="5"/>
  <c r="AS560" i="5"/>
  <c r="BC560" i="5" s="1"/>
  <c r="BE560" i="5" s="1"/>
  <c r="AS536" i="5"/>
  <c r="BC536" i="5" s="1"/>
  <c r="BD536" i="5" s="1"/>
  <c r="AS476" i="5"/>
  <c r="BC476" i="5" s="1"/>
  <c r="AS477" i="5"/>
  <c r="BC477" i="5" s="1"/>
  <c r="AS503" i="5"/>
  <c r="AS469" i="5"/>
  <c r="BC469" i="5" s="1"/>
  <c r="BD469" i="5" s="1"/>
  <c r="AS10" i="5"/>
  <c r="AS70" i="5"/>
  <c r="BC70" i="5" s="1"/>
  <c r="BD70" i="5" s="1"/>
  <c r="AS209" i="5"/>
  <c r="BC209" i="5" s="1"/>
  <c r="AS400" i="5"/>
  <c r="BC400" i="5" s="1"/>
  <c r="AS233" i="5"/>
  <c r="BC233" i="5" s="1"/>
  <c r="AS415" i="5"/>
  <c r="BC415" i="5" s="1"/>
  <c r="AS80" i="5"/>
  <c r="BC80" i="5" s="1"/>
  <c r="AS294" i="5"/>
  <c r="BC294" i="5" s="1"/>
  <c r="AS73" i="5"/>
  <c r="BC73" i="5" s="1"/>
  <c r="AS113" i="5"/>
  <c r="BC113" i="5" s="1"/>
  <c r="BD113" i="5" s="1"/>
  <c r="AS533" i="5"/>
  <c r="AS478" i="5"/>
  <c r="BC478" i="5" s="1"/>
  <c r="AS9" i="5"/>
  <c r="AS218" i="5"/>
  <c r="BC218" i="5" s="1"/>
  <c r="AS132" i="5"/>
  <c r="BC132" i="5" s="1"/>
  <c r="AS557" i="5"/>
  <c r="BC557" i="5" s="1"/>
  <c r="AS293" i="5"/>
  <c r="BC293" i="5" s="1"/>
  <c r="AS501" i="5"/>
  <c r="BC501" i="5" s="1"/>
  <c r="AS126" i="5"/>
  <c r="BC126" i="5" s="1"/>
  <c r="AS499" i="5"/>
  <c r="BC499" i="5" s="1"/>
  <c r="AS541" i="5"/>
  <c r="AS481" i="5"/>
  <c r="BC481" i="5" s="1"/>
  <c r="BD481" i="5" s="1"/>
  <c r="AS236" i="5"/>
  <c r="BC236" i="5" s="1"/>
  <c r="BD236" i="5" s="1"/>
  <c r="AS554" i="5"/>
  <c r="BC554" i="5" s="1"/>
  <c r="AS286" i="5"/>
  <c r="AS273" i="5"/>
  <c r="BC273" i="5" s="1"/>
  <c r="AS487" i="5"/>
  <c r="BC487" i="5" s="1"/>
  <c r="AS470" i="5"/>
  <c r="BC470" i="5" s="1"/>
  <c r="BE470" i="5" s="1"/>
  <c r="AS68" i="5"/>
  <c r="BC68" i="5" s="1"/>
  <c r="AS221" i="5"/>
  <c r="BC221" i="5" s="1"/>
  <c r="BE221" i="5" s="1"/>
  <c r="AS317" i="5"/>
  <c r="BC317" i="5" s="1"/>
  <c r="AS8" i="5"/>
  <c r="BC8" i="5" s="1"/>
  <c r="BD8" i="5" s="1"/>
  <c r="AS329" i="5"/>
  <c r="BC329" i="5" s="1"/>
  <c r="BE329" i="5" s="1"/>
  <c r="AS447" i="5"/>
  <c r="BC447" i="5" s="1"/>
  <c r="AS351" i="5"/>
  <c r="BC351" i="5" s="1"/>
  <c r="AS532" i="5"/>
  <c r="BC532" i="5" s="1"/>
  <c r="AS546" i="5"/>
  <c r="BC546" i="5" s="1"/>
  <c r="AS414" i="5"/>
  <c r="BC414" i="5" s="1"/>
  <c r="AS387" i="5"/>
  <c r="BC387" i="5" s="1"/>
  <c r="AS318" i="5"/>
  <c r="BC318" i="5" s="1"/>
  <c r="AS272" i="5"/>
  <c r="BC272" i="5" s="1"/>
  <c r="AS523" i="5"/>
  <c r="BC523" i="5" s="1"/>
  <c r="AS188" i="5"/>
  <c r="AS495" i="5"/>
  <c r="BC495" i="5" s="1"/>
  <c r="BE495" i="5" s="1"/>
  <c r="AS276" i="5"/>
  <c r="BC276" i="5" s="1"/>
  <c r="AS356" i="5"/>
  <c r="BC356" i="5" s="1"/>
  <c r="BD356" i="5" s="1"/>
  <c r="AS243" i="5"/>
  <c r="BC243" i="5" s="1"/>
  <c r="AS261" i="5"/>
  <c r="BC261" i="5" s="1"/>
  <c r="AS19" i="5"/>
  <c r="BC19" i="5" s="1"/>
  <c r="BC537" i="5"/>
  <c r="BD537" i="5" s="1"/>
  <c r="AL12" i="5"/>
  <c r="BB552" i="5"/>
  <c r="BA552" i="5"/>
  <c r="BB539" i="5"/>
  <c r="BA539" i="5"/>
  <c r="BA514" i="5"/>
  <c r="BB514" i="5"/>
  <c r="BA273" i="5"/>
  <c r="BB273" i="5"/>
  <c r="BB376" i="5"/>
  <c r="BA376" i="5"/>
  <c r="BA90" i="5"/>
  <c r="BB90" i="5"/>
  <c r="BB456" i="5"/>
  <c r="BA456" i="5"/>
  <c r="BA498" i="5"/>
  <c r="BB498" i="5"/>
  <c r="BA349" i="5"/>
  <c r="BB349" i="5"/>
  <c r="BA258" i="5"/>
  <c r="BB258" i="5"/>
  <c r="BB155" i="5"/>
  <c r="BA155" i="5"/>
  <c r="BA534" i="5"/>
  <c r="BB534" i="5"/>
  <c r="BA519" i="5"/>
  <c r="BB519" i="5"/>
  <c r="BA379" i="5"/>
  <c r="BB379" i="5"/>
  <c r="BA385" i="5"/>
  <c r="BB385" i="5"/>
  <c r="BB170" i="5"/>
  <c r="BA170" i="5"/>
  <c r="BB513" i="5"/>
  <c r="BA513" i="5"/>
  <c r="BB441" i="5"/>
  <c r="BA441" i="5"/>
  <c r="BA204" i="5"/>
  <c r="BB204" i="5"/>
  <c r="BC379" i="5"/>
  <c r="BA535" i="5"/>
  <c r="BB535" i="5"/>
  <c r="BA445" i="5"/>
  <c r="BB445" i="5"/>
  <c r="BA485" i="5"/>
  <c r="BB485" i="5"/>
  <c r="BA520" i="5"/>
  <c r="BB520" i="5"/>
  <c r="BB487" i="5"/>
  <c r="BA487" i="5"/>
  <c r="BB434" i="5"/>
  <c r="BA434" i="5"/>
  <c r="BA506" i="5"/>
  <c r="BB506" i="5"/>
  <c r="BA427" i="5"/>
  <c r="BB427" i="5"/>
  <c r="BB497" i="5"/>
  <c r="BA497" i="5"/>
  <c r="BA362" i="5"/>
  <c r="BB362" i="5"/>
  <c r="BB355" i="5"/>
  <c r="BA355" i="5"/>
  <c r="BA209" i="5"/>
  <c r="BB209" i="5"/>
  <c r="BB370" i="5"/>
  <c r="BA370" i="5"/>
  <c r="BA436" i="5"/>
  <c r="BB436" i="5"/>
  <c r="BB319" i="5"/>
  <c r="BA319" i="5"/>
  <c r="BB272" i="5"/>
  <c r="BA272" i="5"/>
  <c r="BB182" i="5"/>
  <c r="BA182" i="5"/>
  <c r="BB124" i="5"/>
  <c r="BA124" i="5"/>
  <c r="BA79" i="5"/>
  <c r="BB79" i="5"/>
  <c r="BB537" i="5"/>
  <c r="BA537" i="5"/>
  <c r="BA481" i="5"/>
  <c r="BB481" i="5"/>
  <c r="BA557" i="5"/>
  <c r="BB557" i="5"/>
  <c r="BA328" i="5"/>
  <c r="BB328" i="5"/>
  <c r="BB505" i="5"/>
  <c r="BA505" i="5"/>
  <c r="BB473" i="5"/>
  <c r="BA473" i="5"/>
  <c r="BA387" i="5"/>
  <c r="BB387" i="5"/>
  <c r="BB474" i="5"/>
  <c r="BA474" i="5"/>
  <c r="BB394" i="5"/>
  <c r="BA394" i="5"/>
  <c r="BA472" i="5"/>
  <c r="BB472" i="5"/>
  <c r="BB406" i="5"/>
  <c r="BA406" i="5"/>
  <c r="BB340" i="5"/>
  <c r="BA340" i="5"/>
  <c r="BA408" i="5"/>
  <c r="BB408" i="5"/>
  <c r="BA356" i="5"/>
  <c r="BB356" i="5"/>
  <c r="BA420" i="5"/>
  <c r="BB420" i="5"/>
  <c r="BA343" i="5"/>
  <c r="BB343" i="5"/>
  <c r="BB281" i="5"/>
  <c r="BA281" i="5"/>
  <c r="BB203" i="5"/>
  <c r="BA203" i="5"/>
  <c r="BA106" i="5"/>
  <c r="BB106" i="5"/>
  <c r="BA28" i="5"/>
  <c r="BB28" i="5"/>
  <c r="BB542" i="5"/>
  <c r="BA542" i="5"/>
  <c r="BB524" i="5"/>
  <c r="BA524" i="5"/>
  <c r="BB517" i="5"/>
  <c r="BA517" i="5"/>
  <c r="BB523" i="5"/>
  <c r="BA523" i="5"/>
  <c r="BB489" i="5"/>
  <c r="BA489" i="5"/>
  <c r="BB443" i="5"/>
  <c r="BA443" i="5"/>
  <c r="BA511" i="5"/>
  <c r="BB511" i="5"/>
  <c r="BA439" i="5"/>
  <c r="BB439" i="5"/>
  <c r="BA515" i="5"/>
  <c r="BB515" i="5"/>
  <c r="BA401" i="5"/>
  <c r="BB401" i="5"/>
  <c r="BB366" i="5"/>
  <c r="BA366" i="5"/>
  <c r="BA254" i="5"/>
  <c r="BB254" i="5"/>
  <c r="BA377" i="5"/>
  <c r="BB377" i="5"/>
  <c r="BA250" i="5"/>
  <c r="BB250" i="5"/>
  <c r="BB360" i="5"/>
  <c r="BA360" i="5"/>
  <c r="BB321" i="5"/>
  <c r="BA321" i="5"/>
  <c r="BA217" i="5"/>
  <c r="BB217" i="5"/>
  <c r="BA104" i="5"/>
  <c r="BB104" i="5"/>
  <c r="BB77" i="5"/>
  <c r="BA77" i="5"/>
  <c r="BA19" i="5"/>
  <c r="BB19" i="5"/>
  <c r="BB501" i="5"/>
  <c r="BA501" i="5"/>
  <c r="BA558" i="5"/>
  <c r="BB558" i="5"/>
  <c r="BB425" i="5"/>
  <c r="BA425" i="5"/>
  <c r="BB509" i="5"/>
  <c r="BA509" i="5"/>
  <c r="BB479" i="5"/>
  <c r="BA479" i="5"/>
  <c r="BA405" i="5"/>
  <c r="BB405" i="5"/>
  <c r="BB480" i="5"/>
  <c r="BA480" i="5"/>
  <c r="BA403" i="5"/>
  <c r="BB403" i="5"/>
  <c r="BA478" i="5"/>
  <c r="BB478" i="5"/>
  <c r="BB416" i="5"/>
  <c r="BA416" i="5"/>
  <c r="BA342" i="5"/>
  <c r="BB342" i="5"/>
  <c r="BB417" i="5"/>
  <c r="BA417" i="5"/>
  <c r="BB361" i="5"/>
  <c r="BA361" i="5"/>
  <c r="BA428" i="5"/>
  <c r="BB428" i="5"/>
  <c r="BA358" i="5"/>
  <c r="BB358" i="5"/>
  <c r="BB307" i="5"/>
  <c r="BA307" i="5"/>
  <c r="BA205" i="5"/>
  <c r="BB205" i="5"/>
  <c r="BB128" i="5"/>
  <c r="BA128" i="5"/>
  <c r="BB58" i="5"/>
  <c r="BA58" i="5"/>
  <c r="BA543" i="5"/>
  <c r="BB543" i="5"/>
  <c r="BA493" i="5"/>
  <c r="BB493" i="5"/>
  <c r="BB447" i="5"/>
  <c r="BA447" i="5"/>
  <c r="BA442" i="5"/>
  <c r="BB442" i="5"/>
  <c r="BA260" i="5"/>
  <c r="BB260" i="5"/>
  <c r="BA244" i="5"/>
  <c r="BB244" i="5"/>
  <c r="BA36" i="5"/>
  <c r="BB36" i="5"/>
  <c r="BA437" i="5"/>
  <c r="BB437" i="5"/>
  <c r="BB486" i="5"/>
  <c r="BA486" i="5"/>
  <c r="BB426" i="5"/>
  <c r="BA426" i="5"/>
  <c r="BA354" i="5"/>
  <c r="BB354" i="5"/>
  <c r="BA365" i="5"/>
  <c r="BB365" i="5"/>
  <c r="BB253" i="5"/>
  <c r="BA253" i="5"/>
  <c r="BA49" i="5"/>
  <c r="BB49" i="5"/>
  <c r="BA549" i="5"/>
  <c r="BB549" i="5"/>
  <c r="BA495" i="5"/>
  <c r="BB495" i="5"/>
  <c r="BB462" i="5"/>
  <c r="BA462" i="5"/>
  <c r="BB457" i="5"/>
  <c r="BA457" i="5"/>
  <c r="BA389" i="5"/>
  <c r="BB389" i="5"/>
  <c r="BA275" i="5"/>
  <c r="BB275" i="5"/>
  <c r="BB102" i="5"/>
  <c r="BA102" i="5"/>
  <c r="BB541" i="5"/>
  <c r="BA541" i="5"/>
  <c r="BA522" i="5"/>
  <c r="BB522" i="5"/>
  <c r="BA507" i="5"/>
  <c r="BB507" i="5"/>
  <c r="BB504" i="5"/>
  <c r="BA504" i="5"/>
  <c r="BA364" i="5"/>
  <c r="BB364" i="5"/>
  <c r="BB375" i="5"/>
  <c r="BA375" i="5"/>
  <c r="BB294" i="5"/>
  <c r="BA294" i="5"/>
  <c r="BB142" i="5"/>
  <c r="BA142" i="5"/>
  <c r="BD98" i="5"/>
  <c r="BC90" i="5"/>
  <c r="BA546" i="5"/>
  <c r="BB546" i="5"/>
  <c r="BB491" i="5"/>
  <c r="BA491" i="5"/>
  <c r="BA560" i="5"/>
  <c r="BB560" i="5"/>
  <c r="BA421" i="5"/>
  <c r="BB421" i="5"/>
  <c r="BA508" i="5"/>
  <c r="BB508" i="5"/>
  <c r="BB476" i="5"/>
  <c r="BA476" i="5"/>
  <c r="BA396" i="5"/>
  <c r="BB396" i="5"/>
  <c r="BB477" i="5"/>
  <c r="BA477" i="5"/>
  <c r="BA397" i="5"/>
  <c r="BB397" i="5"/>
  <c r="BA475" i="5"/>
  <c r="BB475" i="5"/>
  <c r="BA415" i="5"/>
  <c r="BB415" i="5"/>
  <c r="BA341" i="5"/>
  <c r="BB341" i="5"/>
  <c r="BB413" i="5"/>
  <c r="BA413" i="5"/>
  <c r="BA359" i="5"/>
  <c r="BB359" i="5"/>
  <c r="BB423" i="5"/>
  <c r="BA423" i="5"/>
  <c r="BA357" i="5"/>
  <c r="BB357" i="5"/>
  <c r="BB291" i="5"/>
  <c r="BA291" i="5"/>
  <c r="BB165" i="5"/>
  <c r="BA165" i="5"/>
  <c r="BA120" i="5"/>
  <c r="BB120" i="5"/>
  <c r="BA63" i="5"/>
  <c r="BB63" i="5"/>
  <c r="BB438" i="5"/>
  <c r="BA438" i="5"/>
  <c r="BA550" i="5"/>
  <c r="BB550" i="5"/>
  <c r="BA536" i="5"/>
  <c r="BB536" i="5"/>
  <c r="BA555" i="5"/>
  <c r="BB555" i="5"/>
  <c r="BB499" i="5"/>
  <c r="BA499" i="5"/>
  <c r="BA455" i="5"/>
  <c r="BB455" i="5"/>
  <c r="BB308" i="5"/>
  <c r="BA308" i="5"/>
  <c r="BA465" i="5"/>
  <c r="BB465" i="5"/>
  <c r="BB270" i="5"/>
  <c r="BA270" i="5"/>
  <c r="BA458" i="5"/>
  <c r="BB458" i="5"/>
  <c r="BB388" i="5"/>
  <c r="BA388" i="5"/>
  <c r="BA289" i="5"/>
  <c r="BB289" i="5"/>
  <c r="BB390" i="5"/>
  <c r="BA390" i="5"/>
  <c r="BA304" i="5"/>
  <c r="BB304" i="5"/>
  <c r="BB404" i="5"/>
  <c r="BA404" i="5"/>
  <c r="BB301" i="5"/>
  <c r="BA301" i="5"/>
  <c r="BB239" i="5"/>
  <c r="BA239" i="5"/>
  <c r="BB185" i="5"/>
  <c r="BA185" i="5"/>
  <c r="BA87" i="5"/>
  <c r="BB87" i="5"/>
  <c r="BA33" i="5"/>
  <c r="BB33" i="5"/>
  <c r="BA528" i="5"/>
  <c r="BB528" i="5"/>
  <c r="BB433" i="5"/>
  <c r="BA433" i="5"/>
  <c r="BB449" i="5"/>
  <c r="BA449" i="5"/>
  <c r="BB510" i="5"/>
  <c r="BA510" i="5"/>
  <c r="BA482" i="5"/>
  <c r="BB482" i="5"/>
  <c r="BB430" i="5"/>
  <c r="BA430" i="5"/>
  <c r="BB484" i="5"/>
  <c r="BA484" i="5"/>
  <c r="BB412" i="5"/>
  <c r="BA412" i="5"/>
  <c r="BA490" i="5"/>
  <c r="BB490" i="5"/>
  <c r="BA311" i="5"/>
  <c r="BB311" i="5"/>
  <c r="BB348" i="5"/>
  <c r="BA348" i="5"/>
  <c r="BB418" i="5"/>
  <c r="BA418" i="5"/>
  <c r="BA363" i="5"/>
  <c r="BB363" i="5"/>
  <c r="BA431" i="5"/>
  <c r="BB431" i="5"/>
  <c r="BB224" i="5"/>
  <c r="BA224" i="5"/>
  <c r="BB327" i="5"/>
  <c r="BA327" i="5"/>
  <c r="BA216" i="5"/>
  <c r="BB216" i="5"/>
  <c r="BA146" i="5"/>
  <c r="BB146" i="5"/>
  <c r="BA57" i="5"/>
  <c r="BB57" i="5"/>
  <c r="BB464" i="5"/>
  <c r="BA464" i="5"/>
  <c r="BA407" i="5"/>
  <c r="BB407" i="5"/>
  <c r="BB548" i="5"/>
  <c r="BA548" i="5"/>
  <c r="BA229" i="5"/>
  <c r="BB229" i="5"/>
  <c r="BB502" i="5"/>
  <c r="BA502" i="5"/>
  <c r="BA466" i="5"/>
  <c r="BB466" i="5"/>
  <c r="BB353" i="5"/>
  <c r="BA353" i="5"/>
  <c r="BB468" i="5"/>
  <c r="BA468" i="5"/>
  <c r="BA382" i="5"/>
  <c r="BB382" i="5"/>
  <c r="BB460" i="5"/>
  <c r="BA460" i="5"/>
  <c r="BB398" i="5"/>
  <c r="BA398" i="5"/>
  <c r="BB333" i="5"/>
  <c r="BA333" i="5"/>
  <c r="BA399" i="5"/>
  <c r="BB399" i="5"/>
  <c r="BB345" i="5"/>
  <c r="BA345" i="5"/>
  <c r="BA410" i="5"/>
  <c r="BB410" i="5"/>
  <c r="BA320" i="5"/>
  <c r="BB320" i="5"/>
  <c r="BB259" i="5"/>
  <c r="BA259" i="5"/>
  <c r="BB162" i="5"/>
  <c r="BA162" i="5"/>
  <c r="BB129" i="5"/>
  <c r="BA129" i="5"/>
  <c r="BB42" i="5"/>
  <c r="BA42" i="5"/>
  <c r="BA527" i="5"/>
  <c r="BB527" i="5"/>
  <c r="BA451" i="5"/>
  <c r="BB451" i="5"/>
  <c r="BA526" i="5"/>
  <c r="BB526" i="5"/>
  <c r="BA374" i="5"/>
  <c r="BB374" i="5"/>
  <c r="BA384" i="5"/>
  <c r="BB384" i="5"/>
  <c r="BA248" i="5"/>
  <c r="BB248" i="5"/>
  <c r="BB181" i="5"/>
  <c r="BA181" i="5"/>
  <c r="BA533" i="5"/>
  <c r="BB533" i="5"/>
  <c r="BB518" i="5"/>
  <c r="BA518" i="5"/>
  <c r="BB432" i="5"/>
  <c r="BA432" i="5"/>
  <c r="BA496" i="5"/>
  <c r="BB496" i="5"/>
  <c r="BB419" i="5"/>
  <c r="BA419" i="5"/>
  <c r="BA435" i="5"/>
  <c r="BB435" i="5"/>
  <c r="BB233" i="5"/>
  <c r="BA233" i="5"/>
  <c r="BA372" i="5"/>
  <c r="BB372" i="5"/>
  <c r="BB554" i="5"/>
  <c r="BA554" i="5"/>
  <c r="BB454" i="5"/>
  <c r="BA454" i="5"/>
  <c r="BB532" i="5"/>
  <c r="BA532" i="5"/>
  <c r="BB286" i="5"/>
  <c r="BA286" i="5"/>
  <c r="BA293" i="5"/>
  <c r="BB293" i="5"/>
  <c r="BB215" i="5"/>
  <c r="BA215" i="5"/>
  <c r="BA37" i="5"/>
  <c r="BB37" i="5"/>
  <c r="BB448" i="5"/>
  <c r="BA448" i="5"/>
  <c r="BB488" i="5"/>
  <c r="BA488" i="5"/>
  <c r="BB429" i="5"/>
  <c r="BA429" i="5"/>
  <c r="BA368" i="5"/>
  <c r="BB368" i="5"/>
  <c r="BA245" i="5"/>
  <c r="BB245" i="5"/>
  <c r="BB440" i="5"/>
  <c r="BA440" i="5"/>
  <c r="BB335" i="5"/>
  <c r="BA335" i="5"/>
  <c r="BA62" i="5"/>
  <c r="BB62" i="5"/>
  <c r="BC533" i="5"/>
  <c r="BD533" i="5" s="1"/>
  <c r="BC286" i="5"/>
  <c r="BC440" i="5"/>
  <c r="BB450" i="5"/>
  <c r="BA450" i="5"/>
  <c r="BB551" i="5"/>
  <c r="BA551" i="5"/>
  <c r="BB540" i="5"/>
  <c r="BA540" i="5"/>
  <c r="BB556" i="5"/>
  <c r="BA556" i="5"/>
  <c r="BB500" i="5"/>
  <c r="BA500" i="5"/>
  <c r="BB463" i="5"/>
  <c r="BA463" i="5"/>
  <c r="BB347" i="5"/>
  <c r="BA347" i="5"/>
  <c r="BB467" i="5"/>
  <c r="BA467" i="5"/>
  <c r="BA325" i="5"/>
  <c r="BB325" i="5"/>
  <c r="BB459" i="5"/>
  <c r="BA459" i="5"/>
  <c r="BB395" i="5"/>
  <c r="BA395" i="5"/>
  <c r="BA292" i="5"/>
  <c r="BB292" i="5"/>
  <c r="BA392" i="5"/>
  <c r="BB392" i="5"/>
  <c r="BA334" i="5"/>
  <c r="BB334" i="5"/>
  <c r="BB409" i="5"/>
  <c r="BA409" i="5"/>
  <c r="BB310" i="5"/>
  <c r="BA310" i="5"/>
  <c r="BA193" i="5"/>
  <c r="BB193" i="5"/>
  <c r="BB143" i="5"/>
  <c r="BA143" i="5"/>
  <c r="BA99" i="5"/>
  <c r="BB99" i="5"/>
  <c r="BA46" i="5"/>
  <c r="BB46" i="5"/>
  <c r="BA547" i="5"/>
  <c r="BB547" i="5"/>
  <c r="BB538" i="5"/>
  <c r="BA538" i="5"/>
  <c r="BA521" i="5"/>
  <c r="BB521" i="5"/>
  <c r="BB530" i="5"/>
  <c r="BA530" i="5"/>
  <c r="BA492" i="5"/>
  <c r="BB492" i="5"/>
  <c r="BB444" i="5"/>
  <c r="BA444" i="5"/>
  <c r="BA512" i="5"/>
  <c r="BB512" i="5"/>
  <c r="BA446" i="5"/>
  <c r="BB446" i="5"/>
  <c r="BB525" i="5"/>
  <c r="BA525" i="5"/>
  <c r="BA422" i="5"/>
  <c r="BB422" i="5"/>
  <c r="BA371" i="5"/>
  <c r="BB371" i="5"/>
  <c r="BB267" i="5"/>
  <c r="BA267" i="5"/>
  <c r="BB380" i="5"/>
  <c r="BA380" i="5"/>
  <c r="BB252" i="5"/>
  <c r="BA252" i="5"/>
  <c r="BB367" i="5"/>
  <c r="BA367" i="5"/>
  <c r="BB192" i="5"/>
  <c r="BA192" i="5"/>
  <c r="BB228" i="5"/>
  <c r="BA228" i="5"/>
  <c r="BA167" i="5"/>
  <c r="BB167" i="5"/>
  <c r="BB93" i="5"/>
  <c r="BA93" i="5"/>
  <c r="BB483" i="5"/>
  <c r="BA483" i="5"/>
  <c r="BA424" i="5"/>
  <c r="BB424" i="5"/>
  <c r="BB553" i="5"/>
  <c r="BA553" i="5"/>
  <c r="BA297" i="5"/>
  <c r="BB297" i="5"/>
  <c r="BA503" i="5"/>
  <c r="BB503" i="5"/>
  <c r="BB469" i="5"/>
  <c r="BA469" i="5"/>
  <c r="BB381" i="5"/>
  <c r="BA381" i="5"/>
  <c r="BA470" i="5"/>
  <c r="BB470" i="5"/>
  <c r="BB391" i="5"/>
  <c r="BA391" i="5"/>
  <c r="BB471" i="5"/>
  <c r="BA471" i="5"/>
  <c r="BB400" i="5"/>
  <c r="BA400" i="5"/>
  <c r="BA336" i="5"/>
  <c r="BB336" i="5"/>
  <c r="BB402" i="5"/>
  <c r="BA402" i="5"/>
  <c r="BA350" i="5"/>
  <c r="BB350" i="5"/>
  <c r="BB414" i="5"/>
  <c r="BA414" i="5"/>
  <c r="BB330" i="5"/>
  <c r="BA330" i="5"/>
  <c r="BA271" i="5"/>
  <c r="BB271" i="5"/>
  <c r="BA187" i="5"/>
  <c r="BB187" i="5"/>
  <c r="BB151" i="5"/>
  <c r="BA151" i="5"/>
  <c r="BA67" i="5"/>
  <c r="BB67" i="5"/>
  <c r="BB559" i="5"/>
  <c r="BA559" i="5"/>
  <c r="BB544" i="5"/>
  <c r="BA544" i="5"/>
  <c r="BB529" i="5"/>
  <c r="BA529" i="5"/>
  <c r="BA545" i="5"/>
  <c r="BB545" i="5"/>
  <c r="BB494" i="5"/>
  <c r="BA494" i="5"/>
  <c r="BB453" i="5"/>
  <c r="BA453" i="5"/>
  <c r="BB516" i="5"/>
  <c r="BA516" i="5"/>
  <c r="BA461" i="5"/>
  <c r="BB461" i="5"/>
  <c r="BB531" i="5"/>
  <c r="BA531" i="5"/>
  <c r="BA452" i="5"/>
  <c r="BB452" i="5"/>
  <c r="BA378" i="5"/>
  <c r="BB378" i="5"/>
  <c r="BB280" i="5"/>
  <c r="BA280" i="5"/>
  <c r="BA386" i="5"/>
  <c r="BB386" i="5"/>
  <c r="BB277" i="5"/>
  <c r="BA277" i="5"/>
  <c r="BB383" i="5"/>
  <c r="BA383" i="5"/>
  <c r="BA257" i="5"/>
  <c r="BB257" i="5"/>
  <c r="BA186" i="5"/>
  <c r="BB186" i="5"/>
  <c r="BB153" i="5"/>
  <c r="BA153" i="5"/>
  <c r="BA96" i="5"/>
  <c r="BB96" i="5"/>
  <c r="BA25" i="5"/>
  <c r="BB25" i="5"/>
  <c r="AY364" i="5"/>
  <c r="AX364" i="5"/>
  <c r="BC364" i="5"/>
  <c r="AY511" i="5"/>
  <c r="AX511" i="5"/>
  <c r="AY438" i="5"/>
  <c r="AX438" i="5"/>
  <c r="AY530" i="5"/>
  <c r="BC530" i="5"/>
  <c r="AX530" i="5"/>
  <c r="AY514" i="5"/>
  <c r="AX514" i="5"/>
  <c r="AX558" i="5"/>
  <c r="AY558" i="5"/>
  <c r="AX510" i="5"/>
  <c r="AY510" i="5"/>
  <c r="AY523" i="5"/>
  <c r="AX523" i="5"/>
  <c r="AX303" i="5"/>
  <c r="AY303" i="5"/>
  <c r="AY447" i="5"/>
  <c r="AX447" i="5"/>
  <c r="AY421" i="5"/>
  <c r="AX421" i="5"/>
  <c r="BC454" i="5"/>
  <c r="AX454" i="5"/>
  <c r="AY454" i="5"/>
  <c r="AX403" i="5"/>
  <c r="AY403" i="5"/>
  <c r="AX497" i="5"/>
  <c r="AY497" i="5"/>
  <c r="BC497" i="5"/>
  <c r="AY547" i="5"/>
  <c r="AX547" i="5"/>
  <c r="BC547" i="5"/>
  <c r="AX417" i="5"/>
  <c r="AY417" i="5"/>
  <c r="BC417" i="5"/>
  <c r="AY512" i="5"/>
  <c r="AX512" i="5"/>
  <c r="AX264" i="5"/>
  <c r="AY264" i="5"/>
  <c r="AX344" i="5"/>
  <c r="AY344" i="5"/>
  <c r="AX267" i="5"/>
  <c r="BC267" i="5"/>
  <c r="AY267" i="5"/>
  <c r="AX232" i="5"/>
  <c r="AY232" i="5"/>
  <c r="AX142" i="5"/>
  <c r="AY142" i="5"/>
  <c r="BC142" i="5"/>
  <c r="AX86" i="5"/>
  <c r="AY86" i="5"/>
  <c r="AX94" i="5"/>
  <c r="AY94" i="5"/>
  <c r="AX27" i="5"/>
  <c r="AY27" i="5"/>
  <c r="AX389" i="5"/>
  <c r="AY389" i="5"/>
  <c r="BC389" i="5"/>
  <c r="AY260" i="5"/>
  <c r="AX260" i="5"/>
  <c r="BC260" i="5"/>
  <c r="AX284" i="5"/>
  <c r="AY284" i="5"/>
  <c r="AX175" i="5"/>
  <c r="AY175" i="5"/>
  <c r="AY151" i="5"/>
  <c r="AX151" i="5"/>
  <c r="AY103" i="5"/>
  <c r="AX103" i="5"/>
  <c r="AY66" i="5"/>
  <c r="AX66" i="5"/>
  <c r="AY384" i="5"/>
  <c r="AX384" i="5"/>
  <c r="BC384" i="5"/>
  <c r="AY316" i="5"/>
  <c r="AX316" i="5"/>
  <c r="AY230" i="5"/>
  <c r="AX230" i="5"/>
  <c r="AX172" i="5"/>
  <c r="AY172" i="5"/>
  <c r="AY173" i="5"/>
  <c r="AX173" i="5"/>
  <c r="AX64" i="5"/>
  <c r="AY64" i="5"/>
  <c r="AY97" i="5"/>
  <c r="AX97" i="5"/>
  <c r="AX60" i="5"/>
  <c r="AY60" i="5"/>
  <c r="AY61" i="5"/>
  <c r="AX61" i="5"/>
  <c r="AY21" i="5"/>
  <c r="AX21" i="5"/>
  <c r="AY22" i="5"/>
  <c r="AX22" i="5"/>
  <c r="AY427" i="5"/>
  <c r="AX427" i="5"/>
  <c r="BC370" i="5"/>
  <c r="AX370" i="5"/>
  <c r="AY370" i="5"/>
  <c r="BC297" i="5"/>
  <c r="AY297" i="5"/>
  <c r="AX297" i="5"/>
  <c r="AX280" i="5"/>
  <c r="AY280" i="5"/>
  <c r="AY329" i="5"/>
  <c r="AX329" i="5"/>
  <c r="AX253" i="5"/>
  <c r="AY253" i="5"/>
  <c r="BC253" i="5"/>
  <c r="AY216" i="5"/>
  <c r="AX216" i="5"/>
  <c r="AX231" i="5"/>
  <c r="AY231" i="5"/>
  <c r="AY214" i="5"/>
  <c r="AX214" i="5"/>
  <c r="AY188" i="5"/>
  <c r="AX188" i="5"/>
  <c r="AY176" i="5"/>
  <c r="AX176" i="5"/>
  <c r="AX131" i="5"/>
  <c r="AY131" i="5"/>
  <c r="AY141" i="5"/>
  <c r="AX141" i="5"/>
  <c r="AX135" i="5"/>
  <c r="AY135" i="5"/>
  <c r="AY95" i="5"/>
  <c r="AX95" i="5"/>
  <c r="AX70" i="5"/>
  <c r="AY70" i="5"/>
  <c r="AY65" i="5"/>
  <c r="AX65" i="5"/>
  <c r="AX34" i="5"/>
  <c r="AY34" i="5"/>
  <c r="AX33" i="5"/>
  <c r="AY33" i="5"/>
  <c r="BC421" i="5"/>
  <c r="BC264" i="5"/>
  <c r="BE264" i="5" s="1"/>
  <c r="BC86" i="5"/>
  <c r="BE86" i="5" s="1"/>
  <c r="BC21" i="5"/>
  <c r="BE21" i="5" s="1"/>
  <c r="AX407" i="5"/>
  <c r="AY407" i="5"/>
  <c r="AY529" i="5"/>
  <c r="AX529" i="5"/>
  <c r="BC529" i="5"/>
  <c r="AY471" i="5"/>
  <c r="AX471" i="5"/>
  <c r="BC471" i="5"/>
  <c r="AY560" i="5"/>
  <c r="AX560" i="5"/>
  <c r="AX414" i="5"/>
  <c r="AY414" i="5"/>
  <c r="AY453" i="5"/>
  <c r="AX453" i="5"/>
  <c r="AX531" i="5"/>
  <c r="AY531" i="5"/>
  <c r="BC531" i="5"/>
  <c r="AX456" i="5"/>
  <c r="AY456" i="5"/>
  <c r="AX495" i="5"/>
  <c r="AY495" i="5"/>
  <c r="AY274" i="5"/>
  <c r="AX274" i="5"/>
  <c r="AY404" i="5"/>
  <c r="AX404" i="5"/>
  <c r="AX481" i="5"/>
  <c r="AY481" i="5"/>
  <c r="AX372" i="5"/>
  <c r="AY372" i="5"/>
  <c r="AY360" i="5"/>
  <c r="AX360" i="5"/>
  <c r="AY548" i="5"/>
  <c r="AX548" i="5"/>
  <c r="BC548" i="5"/>
  <c r="AX550" i="5"/>
  <c r="AY550" i="5"/>
  <c r="BC550" i="5"/>
  <c r="AY542" i="5"/>
  <c r="AX542" i="5"/>
  <c r="BC542" i="5"/>
  <c r="AX464" i="5"/>
  <c r="AY464" i="5"/>
  <c r="BC464" i="5"/>
  <c r="AX411" i="5"/>
  <c r="AY411" i="5"/>
  <c r="AY502" i="5"/>
  <c r="AX502" i="5"/>
  <c r="AX449" i="5"/>
  <c r="AY449" i="5"/>
  <c r="BC449" i="5"/>
  <c r="AY506" i="5"/>
  <c r="AX506" i="5"/>
  <c r="AY446" i="5"/>
  <c r="AX446" i="5"/>
  <c r="AX396" i="5"/>
  <c r="AY396" i="5"/>
  <c r="AX420" i="5"/>
  <c r="AY420" i="5"/>
  <c r="AX342" i="5"/>
  <c r="AY342" i="5"/>
  <c r="BC342" i="5"/>
  <c r="AY557" i="5"/>
  <c r="AX557" i="5"/>
  <c r="AY554" i="5"/>
  <c r="AX554" i="5"/>
  <c r="AX549" i="5"/>
  <c r="AY549" i="5"/>
  <c r="AY540" i="5"/>
  <c r="AX540" i="5"/>
  <c r="AY460" i="5"/>
  <c r="AX460" i="5"/>
  <c r="BC460" i="5"/>
  <c r="AX402" i="5"/>
  <c r="AY402" i="5"/>
  <c r="AX499" i="5"/>
  <c r="AY499" i="5"/>
  <c r="AX443" i="5"/>
  <c r="AY443" i="5"/>
  <c r="AX505" i="5"/>
  <c r="AY505" i="5"/>
  <c r="AX444" i="5"/>
  <c r="AY444" i="5"/>
  <c r="AX391" i="5"/>
  <c r="AY391" i="5"/>
  <c r="AX415" i="5"/>
  <c r="AY415" i="5"/>
  <c r="AX336" i="5"/>
  <c r="AY336" i="5"/>
  <c r="AY555" i="5"/>
  <c r="AX555" i="5"/>
  <c r="AY551" i="5"/>
  <c r="AX551" i="5"/>
  <c r="BC551" i="5"/>
  <c r="AX532" i="5"/>
  <c r="AY532" i="5"/>
  <c r="AY538" i="5"/>
  <c r="AX538" i="5"/>
  <c r="AY458" i="5"/>
  <c r="AX458" i="5"/>
  <c r="AX393" i="5"/>
  <c r="AY393" i="5"/>
  <c r="AX494" i="5"/>
  <c r="AY494" i="5"/>
  <c r="AX441" i="5"/>
  <c r="AY441" i="5"/>
  <c r="BC441" i="5"/>
  <c r="AX500" i="5"/>
  <c r="AY500" i="5"/>
  <c r="BC500" i="5"/>
  <c r="AX440" i="5"/>
  <c r="AY440" i="5"/>
  <c r="AX387" i="5"/>
  <c r="AY387" i="5"/>
  <c r="AX406" i="5"/>
  <c r="AY406" i="5"/>
  <c r="BC406" i="5"/>
  <c r="AY318" i="5"/>
  <c r="AX318" i="5"/>
  <c r="AX379" i="5"/>
  <c r="AY379" i="5"/>
  <c r="AY307" i="5"/>
  <c r="AX307" i="5"/>
  <c r="AX308" i="5"/>
  <c r="AY308" i="5"/>
  <c r="AX250" i="5"/>
  <c r="AY250" i="5"/>
  <c r="BC250" i="5"/>
  <c r="AY293" i="5"/>
  <c r="AX293" i="5"/>
  <c r="AX177" i="5"/>
  <c r="AY177" i="5"/>
  <c r="AX269" i="5"/>
  <c r="AY269" i="5"/>
  <c r="AX223" i="5"/>
  <c r="AY223" i="5"/>
  <c r="AX239" i="5"/>
  <c r="AY239" i="5"/>
  <c r="AX222" i="5"/>
  <c r="AY222" i="5"/>
  <c r="AX200" i="5"/>
  <c r="AY200" i="5"/>
  <c r="AY186" i="5"/>
  <c r="AX186" i="5"/>
  <c r="AY144" i="5"/>
  <c r="AX144" i="5"/>
  <c r="AX153" i="5"/>
  <c r="AY153" i="5"/>
  <c r="AX149" i="5"/>
  <c r="AY149" i="5"/>
  <c r="AX100" i="5"/>
  <c r="AY100" i="5"/>
  <c r="AX78" i="5"/>
  <c r="AY78" i="5"/>
  <c r="AX79" i="5"/>
  <c r="AY79" i="5"/>
  <c r="BC79" i="5"/>
  <c r="AX55" i="5"/>
  <c r="AY55" i="5"/>
  <c r="AX44" i="5"/>
  <c r="AY44" i="5"/>
  <c r="AY434" i="5"/>
  <c r="AX434" i="5"/>
  <c r="AY377" i="5"/>
  <c r="AX377" i="5"/>
  <c r="BC377" i="5"/>
  <c r="AX296" i="5"/>
  <c r="AY296" i="5"/>
  <c r="AY304" i="5"/>
  <c r="AX304" i="5"/>
  <c r="BC304" i="5"/>
  <c r="AX245" i="5"/>
  <c r="AY245" i="5"/>
  <c r="AY287" i="5"/>
  <c r="AX287" i="5"/>
  <c r="AY331" i="5"/>
  <c r="AX331" i="5"/>
  <c r="BC331" i="5"/>
  <c r="AX262" i="5"/>
  <c r="AY262" i="5"/>
  <c r="AY220" i="5"/>
  <c r="AX220" i="5"/>
  <c r="AY237" i="5"/>
  <c r="AX237" i="5"/>
  <c r="AY219" i="5"/>
  <c r="AX219" i="5"/>
  <c r="AY196" i="5"/>
  <c r="AX196" i="5"/>
  <c r="AY185" i="5"/>
  <c r="AX185" i="5"/>
  <c r="AY140" i="5"/>
  <c r="AX140" i="5"/>
  <c r="AX145" i="5"/>
  <c r="AY145" i="5"/>
  <c r="AX146" i="5"/>
  <c r="AY146" i="5"/>
  <c r="AX98" i="5"/>
  <c r="AY98" i="5"/>
  <c r="AY82" i="5"/>
  <c r="AX82" i="5"/>
  <c r="AY75" i="5"/>
  <c r="AX75" i="5"/>
  <c r="AY53" i="5"/>
  <c r="AX53" i="5"/>
  <c r="AY41" i="5"/>
  <c r="AX41" i="5"/>
  <c r="AY8" i="5"/>
  <c r="AX8" i="5"/>
  <c r="AX371" i="5"/>
  <c r="AY371" i="5"/>
  <c r="BC371" i="5"/>
  <c r="AX281" i="5"/>
  <c r="AY281" i="5"/>
  <c r="AY299" i="5"/>
  <c r="AX299" i="5"/>
  <c r="AX221" i="5"/>
  <c r="AY221" i="5"/>
  <c r="AY283" i="5"/>
  <c r="AX283" i="5"/>
  <c r="AX330" i="5"/>
  <c r="AY330" i="5"/>
  <c r="AX256" i="5"/>
  <c r="AY256" i="5"/>
  <c r="AY218" i="5"/>
  <c r="AX218" i="5"/>
  <c r="AY234" i="5"/>
  <c r="AX234" i="5"/>
  <c r="AX217" i="5"/>
  <c r="AY217" i="5"/>
  <c r="BC217" i="5"/>
  <c r="AX191" i="5"/>
  <c r="AY191" i="5"/>
  <c r="AY180" i="5"/>
  <c r="AX180" i="5"/>
  <c r="AX133" i="5"/>
  <c r="AY133" i="5"/>
  <c r="AX143" i="5"/>
  <c r="AY143" i="5"/>
  <c r="AX138" i="5"/>
  <c r="AY138" i="5"/>
  <c r="AX96" i="5"/>
  <c r="AY96" i="5"/>
  <c r="BC96" i="5"/>
  <c r="AX72" i="5"/>
  <c r="AY72" i="5"/>
  <c r="AX71" i="5"/>
  <c r="AY71" i="5"/>
  <c r="AX51" i="5"/>
  <c r="AY51" i="5"/>
  <c r="AX38" i="5"/>
  <c r="AY38" i="5"/>
  <c r="AT13" i="5"/>
  <c r="AZ13" i="5"/>
  <c r="AW13" i="5"/>
  <c r="T13" i="5"/>
  <c r="AY413" i="5"/>
  <c r="AX413" i="5"/>
  <c r="BC413" i="5"/>
  <c r="BC357" i="5"/>
  <c r="AY357" i="5"/>
  <c r="AX357" i="5"/>
  <c r="AX347" i="5"/>
  <c r="BC347" i="5"/>
  <c r="AY347" i="5"/>
  <c r="AY282" i="5"/>
  <c r="AX282" i="5"/>
  <c r="AX322" i="5"/>
  <c r="AY322" i="5"/>
  <c r="AX263" i="5"/>
  <c r="AY263" i="5"/>
  <c r="AY310" i="5"/>
  <c r="AX310" i="5"/>
  <c r="AX233" i="5"/>
  <c r="AY233" i="5"/>
  <c r="AX198" i="5"/>
  <c r="AY198" i="5"/>
  <c r="AY197" i="5"/>
  <c r="AX197" i="5"/>
  <c r="AY195" i="5"/>
  <c r="AX195" i="5"/>
  <c r="AY170" i="5"/>
  <c r="AX170" i="5"/>
  <c r="AY164" i="5"/>
  <c r="AX164" i="5"/>
  <c r="AX114" i="5"/>
  <c r="AY114" i="5"/>
  <c r="AY130" i="5"/>
  <c r="AX130" i="5"/>
  <c r="AX120" i="5"/>
  <c r="AY120" i="5"/>
  <c r="BC120" i="5"/>
  <c r="AX84" i="5"/>
  <c r="AY84" i="5"/>
  <c r="AX83" i="5"/>
  <c r="AY83" i="5"/>
  <c r="AX54" i="5"/>
  <c r="AY54" i="5"/>
  <c r="AX45" i="5"/>
  <c r="AY45" i="5"/>
  <c r="AX48" i="5"/>
  <c r="AY48" i="5"/>
  <c r="BC95" i="5"/>
  <c r="BC282" i="5"/>
  <c r="AY513" i="5"/>
  <c r="AX513" i="5"/>
  <c r="AY474" i="5"/>
  <c r="AX474" i="5"/>
  <c r="AY536" i="5"/>
  <c r="AX536" i="5"/>
  <c r="AX266" i="5"/>
  <c r="AY266" i="5"/>
  <c r="AX462" i="5"/>
  <c r="AY462" i="5"/>
  <c r="AY422" i="5"/>
  <c r="AX422" i="5"/>
  <c r="AY467" i="5"/>
  <c r="AX467" i="5"/>
  <c r="AY507" i="5"/>
  <c r="AX507" i="5"/>
  <c r="AY552" i="5"/>
  <c r="AX552" i="5"/>
  <c r="AY519" i="5"/>
  <c r="BC519" i="5"/>
  <c r="AX519" i="5"/>
  <c r="AY300" i="5"/>
  <c r="AX300" i="5"/>
  <c r="AY556" i="5"/>
  <c r="AX556" i="5"/>
  <c r="AX508" i="5"/>
  <c r="AY508" i="5"/>
  <c r="BC508" i="5"/>
  <c r="AX401" i="5"/>
  <c r="AY401" i="5"/>
  <c r="AX390" i="5"/>
  <c r="AY390" i="5"/>
  <c r="AY309" i="5"/>
  <c r="AX309" i="5"/>
  <c r="AX181" i="5"/>
  <c r="AY181" i="5"/>
  <c r="AX179" i="5"/>
  <c r="AY179" i="5"/>
  <c r="AX106" i="5"/>
  <c r="AY106" i="5"/>
  <c r="BC106" i="5"/>
  <c r="AY28" i="5"/>
  <c r="AX28" i="5"/>
  <c r="AX319" i="5"/>
  <c r="AY319" i="5"/>
  <c r="AY248" i="5"/>
  <c r="AX248" i="5"/>
  <c r="AX235" i="5"/>
  <c r="AY235" i="5"/>
  <c r="AY80" i="5"/>
  <c r="AX80" i="5"/>
  <c r="AY93" i="5"/>
  <c r="AX93" i="5"/>
  <c r="AY23" i="5"/>
  <c r="AX23" i="5"/>
  <c r="AX258" i="5"/>
  <c r="AY258" i="5"/>
  <c r="AY227" i="5"/>
  <c r="AX227" i="5"/>
  <c r="AY207" i="5"/>
  <c r="AX207" i="5"/>
  <c r="BC207" i="5"/>
  <c r="AY246" i="5"/>
  <c r="AX246" i="5"/>
  <c r="BC231" i="5"/>
  <c r="BE231" i="5" s="1"/>
  <c r="BC27" i="5"/>
  <c r="BD27" i="5" s="1"/>
  <c r="BC66" i="5"/>
  <c r="BE66" i="5" s="1"/>
  <c r="BC34" i="5"/>
  <c r="BD34" i="5" s="1"/>
  <c r="BC214" i="5"/>
  <c r="BE214" i="5" s="1"/>
  <c r="BC103" i="5"/>
  <c r="BD103" i="5" s="1"/>
  <c r="AY261" i="5"/>
  <c r="AX261" i="5"/>
  <c r="AX491" i="5"/>
  <c r="AY491" i="5"/>
  <c r="AY424" i="5"/>
  <c r="AX424" i="5"/>
  <c r="AY559" i="5"/>
  <c r="AX559" i="5"/>
  <c r="AY503" i="5"/>
  <c r="AX503" i="5"/>
  <c r="AX397" i="5"/>
  <c r="AY397" i="5"/>
  <c r="AX546" i="5"/>
  <c r="AY546" i="5"/>
  <c r="AX375" i="5"/>
  <c r="AY375" i="5"/>
  <c r="BC375" i="5"/>
  <c r="AX430" i="5"/>
  <c r="AY430" i="5"/>
  <c r="BC430" i="5"/>
  <c r="AX19" i="5"/>
  <c r="AY19" i="5"/>
  <c r="AX526" i="5"/>
  <c r="AY526" i="5"/>
  <c r="BC526" i="5"/>
  <c r="AX373" i="5"/>
  <c r="AY373" i="5"/>
  <c r="AY388" i="5"/>
  <c r="AX388" i="5"/>
  <c r="AY525" i="5"/>
  <c r="AX525" i="5"/>
  <c r="AX541" i="5"/>
  <c r="AY541" i="5"/>
  <c r="BC541" i="5"/>
  <c r="AY459" i="5"/>
  <c r="AX459" i="5"/>
  <c r="BC459" i="5"/>
  <c r="AY534" i="5"/>
  <c r="AX534" i="5"/>
  <c r="AY448" i="5"/>
  <c r="AX448" i="5"/>
  <c r="BC448" i="5"/>
  <c r="AY351" i="5"/>
  <c r="AX351" i="5"/>
  <c r="AY489" i="5"/>
  <c r="AX489" i="5"/>
  <c r="AY436" i="5"/>
  <c r="AX436" i="5"/>
  <c r="AY492" i="5"/>
  <c r="AX492" i="5"/>
  <c r="BC492" i="5"/>
  <c r="AY429" i="5"/>
  <c r="AX429" i="5"/>
  <c r="BC429" i="5"/>
  <c r="AY382" i="5"/>
  <c r="AX382" i="5"/>
  <c r="BC382" i="5"/>
  <c r="AX398" i="5"/>
  <c r="AY398" i="5"/>
  <c r="AX439" i="5"/>
  <c r="AY439" i="5"/>
  <c r="AX515" i="5"/>
  <c r="AY515" i="5"/>
  <c r="AY539" i="5"/>
  <c r="AX539" i="5"/>
  <c r="BC452" i="5"/>
  <c r="AX452" i="5"/>
  <c r="AY452" i="5"/>
  <c r="AX533" i="5"/>
  <c r="AY533" i="5"/>
  <c r="AX445" i="5"/>
  <c r="AY445" i="5"/>
  <c r="AX339" i="5"/>
  <c r="AY339" i="5"/>
  <c r="BC488" i="5"/>
  <c r="AX488" i="5"/>
  <c r="AY488" i="5"/>
  <c r="AX431" i="5"/>
  <c r="AY431" i="5"/>
  <c r="BC484" i="5"/>
  <c r="AX484" i="5"/>
  <c r="AY484" i="5"/>
  <c r="AY428" i="5"/>
  <c r="AX428" i="5"/>
  <c r="AY381" i="5"/>
  <c r="AX381" i="5"/>
  <c r="BC381" i="5"/>
  <c r="AX395" i="5"/>
  <c r="AY395" i="5"/>
  <c r="AX432" i="5"/>
  <c r="AY432" i="5"/>
  <c r="AX504" i="5"/>
  <c r="AY504" i="5"/>
  <c r="AX535" i="5"/>
  <c r="AY535" i="5"/>
  <c r="AX423" i="5"/>
  <c r="AY423" i="5"/>
  <c r="BC423" i="5"/>
  <c r="AX527" i="5"/>
  <c r="AY527" i="5"/>
  <c r="AX442" i="5"/>
  <c r="AY442" i="5"/>
  <c r="AX335" i="5"/>
  <c r="AY335" i="5"/>
  <c r="AX487" i="5"/>
  <c r="AY487" i="5"/>
  <c r="AY418" i="5"/>
  <c r="AX418" i="5"/>
  <c r="AX482" i="5"/>
  <c r="AY482" i="5"/>
  <c r="AX385" i="5"/>
  <c r="AY385" i="5"/>
  <c r="AX376" i="5"/>
  <c r="AY376" i="5"/>
  <c r="AX394" i="5"/>
  <c r="AY394" i="5"/>
  <c r="BC394" i="5"/>
  <c r="AX426" i="5"/>
  <c r="AY426" i="5"/>
  <c r="BC426" i="5"/>
  <c r="AX365" i="5"/>
  <c r="AY365" i="5"/>
  <c r="BC365" i="5"/>
  <c r="AX212" i="5"/>
  <c r="AY212" i="5"/>
  <c r="AY292" i="5"/>
  <c r="AX292" i="5"/>
  <c r="AY190" i="5"/>
  <c r="AX190" i="5"/>
  <c r="AX275" i="5"/>
  <c r="AY275" i="5"/>
  <c r="AX326" i="5"/>
  <c r="AY326" i="5"/>
  <c r="AY247" i="5"/>
  <c r="AX247" i="5"/>
  <c r="AY209" i="5"/>
  <c r="AX209" i="5"/>
  <c r="AY215" i="5"/>
  <c r="AX215" i="5"/>
  <c r="BC215" i="5"/>
  <c r="AY210" i="5"/>
  <c r="AX210" i="5"/>
  <c r="AX184" i="5"/>
  <c r="AY184" i="5"/>
  <c r="AX174" i="5"/>
  <c r="AY174" i="5"/>
  <c r="AY129" i="5"/>
  <c r="AX129" i="5"/>
  <c r="AY136" i="5"/>
  <c r="AX136" i="5"/>
  <c r="AX128" i="5"/>
  <c r="AY128" i="5"/>
  <c r="BC128" i="5"/>
  <c r="AX92" i="5"/>
  <c r="AY92" i="5"/>
  <c r="AX67" i="5"/>
  <c r="AY67" i="5"/>
  <c r="BC67" i="5"/>
  <c r="AY62" i="5"/>
  <c r="AX62" i="5"/>
  <c r="BC62" i="5"/>
  <c r="AX69" i="5"/>
  <c r="AY69" i="5"/>
  <c r="AX30" i="5"/>
  <c r="AY30" i="5"/>
  <c r="AY419" i="5"/>
  <c r="AX419" i="5"/>
  <c r="AY363" i="5"/>
  <c r="AX363" i="5"/>
  <c r="AY355" i="5"/>
  <c r="AX355" i="5"/>
  <c r="BC355" i="5"/>
  <c r="AX289" i="5"/>
  <c r="AY289" i="5"/>
  <c r="AY332" i="5"/>
  <c r="AX332" i="5"/>
  <c r="AX268" i="5"/>
  <c r="AY268" i="5"/>
  <c r="AX321" i="5"/>
  <c r="AY321" i="5"/>
  <c r="AY243" i="5"/>
  <c r="AX243" i="5"/>
  <c r="AY206" i="5"/>
  <c r="AX206" i="5"/>
  <c r="AY202" i="5"/>
  <c r="AX202" i="5"/>
  <c r="AY204" i="5"/>
  <c r="AX204" i="5"/>
  <c r="BC204" i="5"/>
  <c r="AX182" i="5"/>
  <c r="AY182" i="5"/>
  <c r="AY168" i="5"/>
  <c r="AX168" i="5"/>
  <c r="AY123" i="5"/>
  <c r="AX123" i="5"/>
  <c r="AY134" i="5"/>
  <c r="AX134" i="5"/>
  <c r="AX126" i="5"/>
  <c r="AY126" i="5"/>
  <c r="AY90" i="5"/>
  <c r="AX90" i="5"/>
  <c r="AX91" i="5"/>
  <c r="AY91" i="5"/>
  <c r="AY57" i="5"/>
  <c r="AX57" i="5"/>
  <c r="BC57" i="5"/>
  <c r="AY63" i="5"/>
  <c r="AX63" i="5"/>
  <c r="AY29" i="5"/>
  <c r="AX29" i="5"/>
  <c r="AY416" i="5"/>
  <c r="AX416" i="5"/>
  <c r="BC416" i="5"/>
  <c r="AY359" i="5"/>
  <c r="AX359" i="5"/>
  <c r="AX353" i="5"/>
  <c r="AY353" i="5"/>
  <c r="BC353" i="5"/>
  <c r="AX286" i="5"/>
  <c r="AY286" i="5"/>
  <c r="AX324" i="5"/>
  <c r="AY324" i="5"/>
  <c r="AX265" i="5"/>
  <c r="AY265" i="5"/>
  <c r="AX317" i="5"/>
  <c r="AY317" i="5"/>
  <c r="AY236" i="5"/>
  <c r="AX236" i="5"/>
  <c r="AX201" i="5"/>
  <c r="AY201" i="5"/>
  <c r="AY199" i="5"/>
  <c r="AX199" i="5"/>
  <c r="AY203" i="5"/>
  <c r="AX203" i="5"/>
  <c r="BC203" i="5"/>
  <c r="AY171" i="5"/>
  <c r="AX171" i="5"/>
  <c r="AY166" i="5"/>
  <c r="AX166" i="5"/>
  <c r="AX121" i="5"/>
  <c r="AY121" i="5"/>
  <c r="AY132" i="5"/>
  <c r="AX132" i="5"/>
  <c r="AY125" i="5"/>
  <c r="AX125" i="5"/>
  <c r="AX89" i="5"/>
  <c r="AY89" i="5"/>
  <c r="AX88" i="5"/>
  <c r="AY88" i="5"/>
  <c r="AY56" i="5"/>
  <c r="AX56" i="5"/>
  <c r="AX52" i="5"/>
  <c r="AY52" i="5"/>
  <c r="AY20" i="5"/>
  <c r="AX20" i="5"/>
  <c r="BC341" i="5"/>
  <c r="AY341" i="5"/>
  <c r="AX341" i="5"/>
  <c r="AX392" i="5"/>
  <c r="AY392" i="5"/>
  <c r="AY345" i="5"/>
  <c r="BC345" i="5"/>
  <c r="AX345" i="5"/>
  <c r="AY328" i="5"/>
  <c r="AX328" i="5"/>
  <c r="AX270" i="5"/>
  <c r="AY270" i="5"/>
  <c r="AY312" i="5"/>
  <c r="AX312" i="5"/>
  <c r="AY251" i="5"/>
  <c r="AX251" i="5"/>
  <c r="AY294" i="5"/>
  <c r="AX294" i="5"/>
  <c r="AX241" i="5"/>
  <c r="AY241" i="5"/>
  <c r="BC187" i="5"/>
  <c r="AX187" i="5"/>
  <c r="AY187" i="5"/>
  <c r="AX240" i="5"/>
  <c r="AY240" i="5"/>
  <c r="AY148" i="5"/>
  <c r="AX148" i="5"/>
  <c r="AX183" i="5"/>
  <c r="AY183" i="5"/>
  <c r="AX155" i="5"/>
  <c r="AY155" i="5"/>
  <c r="AX102" i="5"/>
  <c r="AY102" i="5"/>
  <c r="BC102" i="5"/>
  <c r="AX115" i="5"/>
  <c r="AY115" i="5"/>
  <c r="AX111" i="5"/>
  <c r="AY111" i="5"/>
  <c r="AX99" i="5"/>
  <c r="AY99" i="5"/>
  <c r="AX58" i="5"/>
  <c r="AY58" i="5"/>
  <c r="AY36" i="5"/>
  <c r="AX36" i="5"/>
  <c r="AY32" i="5"/>
  <c r="AX32" i="5"/>
  <c r="AX26" i="5"/>
  <c r="AY26" i="5"/>
  <c r="BC503" i="5"/>
  <c r="BC220" i="5"/>
  <c r="BC177" i="5"/>
  <c r="BC256" i="5"/>
  <c r="AX323" i="5"/>
  <c r="AY323" i="5"/>
  <c r="AX472" i="5"/>
  <c r="AY472" i="5"/>
  <c r="AX348" i="5"/>
  <c r="AY348" i="5"/>
  <c r="BC348" i="5"/>
  <c r="AX400" i="5"/>
  <c r="AY400" i="5"/>
  <c r="AY352" i="5"/>
  <c r="AX352" i="5"/>
  <c r="AY457" i="5"/>
  <c r="AX457" i="5"/>
  <c r="BC457" i="5"/>
  <c r="AY490" i="5"/>
  <c r="AX490" i="5"/>
  <c r="BC490" i="5"/>
  <c r="AY455" i="5"/>
  <c r="AX455" i="5"/>
  <c r="BC455" i="5"/>
  <c r="AY405" i="5"/>
  <c r="AX405" i="5"/>
  <c r="BC405" i="5"/>
  <c r="AY358" i="5"/>
  <c r="AX358" i="5"/>
  <c r="AX369" i="5"/>
  <c r="AY369" i="5"/>
  <c r="AX485" i="5"/>
  <c r="AY485" i="5"/>
  <c r="AX509" i="5"/>
  <c r="AY509" i="5"/>
  <c r="AX465" i="5"/>
  <c r="AY465" i="5"/>
  <c r="AY354" i="5"/>
  <c r="AX354" i="5"/>
  <c r="AX383" i="5"/>
  <c r="AY383" i="5"/>
  <c r="AX483" i="5"/>
  <c r="AY483" i="5"/>
  <c r="BC483" i="5"/>
  <c r="AX451" i="5"/>
  <c r="AY451" i="5"/>
  <c r="BC451" i="5"/>
  <c r="AX461" i="5"/>
  <c r="AY461" i="5"/>
  <c r="BC461" i="5"/>
  <c r="AY349" i="5"/>
  <c r="AX349" i="5"/>
  <c r="BC349" i="5"/>
  <c r="AX325" i="5"/>
  <c r="AY325" i="5"/>
  <c r="AY249" i="5"/>
  <c r="AX249" i="5"/>
  <c r="AY290" i="5"/>
  <c r="AX290" i="5"/>
  <c r="AY238" i="5"/>
  <c r="AX238" i="5"/>
  <c r="AY154" i="5"/>
  <c r="AX154" i="5"/>
  <c r="AX87" i="5"/>
  <c r="AY87" i="5"/>
  <c r="AX77" i="5"/>
  <c r="AY77" i="5"/>
  <c r="BC77" i="5"/>
  <c r="AY25" i="5"/>
  <c r="AX25" i="5"/>
  <c r="BC25" i="5"/>
  <c r="AY337" i="5"/>
  <c r="AX337" i="5"/>
  <c r="AX306" i="5"/>
  <c r="AY306" i="5"/>
  <c r="AY229" i="5"/>
  <c r="AX229" i="5"/>
  <c r="AY124" i="5"/>
  <c r="AX124" i="5"/>
  <c r="AX178" i="5"/>
  <c r="AY178" i="5"/>
  <c r="AY161" i="5"/>
  <c r="AX161" i="5"/>
  <c r="AY76" i="5"/>
  <c r="AX76" i="5"/>
  <c r="AY24" i="5"/>
  <c r="AX24" i="5"/>
  <c r="AY327" i="5"/>
  <c r="AX327" i="5"/>
  <c r="BC327" i="5"/>
  <c r="AX301" i="5"/>
  <c r="AY301" i="5"/>
  <c r="BC301" i="5"/>
  <c r="AY278" i="5"/>
  <c r="AX278" i="5"/>
  <c r="AY228" i="5"/>
  <c r="AX228" i="5"/>
  <c r="BC228" i="5"/>
  <c r="AY150" i="5"/>
  <c r="AX150" i="5"/>
  <c r="AY158" i="5"/>
  <c r="AX158" i="5"/>
  <c r="AY85" i="5"/>
  <c r="AX85" i="5"/>
  <c r="AX213" i="5"/>
  <c r="AY213" i="5"/>
  <c r="BC352" i="5"/>
  <c r="BE352" i="5" s="1"/>
  <c r="BC300" i="5"/>
  <c r="BE300" i="5" s="1"/>
  <c r="BC230" i="5"/>
  <c r="BD230" i="5" s="1"/>
  <c r="BC188" i="5"/>
  <c r="BE188" i="5" s="1"/>
  <c r="BC246" i="5"/>
  <c r="BD246" i="5" s="1"/>
  <c r="BC344" i="5"/>
  <c r="BE344" i="5" s="1"/>
  <c r="BC65" i="5"/>
  <c r="BD65" i="5" s="1"/>
  <c r="BC280" i="5"/>
  <c r="BC509" i="5"/>
  <c r="BC510" i="5"/>
  <c r="BC135" i="5"/>
  <c r="AX468" i="5"/>
  <c r="AY468" i="5"/>
  <c r="BC468" i="5"/>
  <c r="AY463" i="5"/>
  <c r="AX463" i="5"/>
  <c r="BC463" i="5"/>
  <c r="AX537" i="5"/>
  <c r="AY537" i="5"/>
  <c r="AY470" i="5"/>
  <c r="AX470" i="5"/>
  <c r="AY544" i="5"/>
  <c r="AX544" i="5"/>
  <c r="AY450" i="5"/>
  <c r="AX450" i="5"/>
  <c r="AX259" i="5"/>
  <c r="AY259" i="5"/>
  <c r="BC259" i="5"/>
  <c r="AX524" i="5"/>
  <c r="AY524" i="5"/>
  <c r="BC524" i="5"/>
  <c r="AY493" i="5"/>
  <c r="AX493" i="5"/>
  <c r="AX386" i="5"/>
  <c r="AY386" i="5"/>
  <c r="BC386" i="5"/>
  <c r="AY498" i="5"/>
  <c r="AX498" i="5"/>
  <c r="BC498" i="5"/>
  <c r="AY437" i="5"/>
  <c r="AX437" i="5"/>
  <c r="AX480" i="5"/>
  <c r="AY480" i="5"/>
  <c r="AY553" i="5"/>
  <c r="AX553" i="5"/>
  <c r="AX486" i="5"/>
  <c r="AY486" i="5"/>
  <c r="AY528" i="5"/>
  <c r="AX528" i="5"/>
  <c r="BC528" i="5"/>
  <c r="AY291" i="5"/>
  <c r="AX291" i="5"/>
  <c r="BC291" i="5"/>
  <c r="AX517" i="5"/>
  <c r="AY517" i="5"/>
  <c r="BC517" i="5"/>
  <c r="AX435" i="5"/>
  <c r="AY435" i="5"/>
  <c r="AX521" i="5"/>
  <c r="AY521" i="5"/>
  <c r="AY473" i="5"/>
  <c r="AX473" i="5"/>
  <c r="BC473" i="5"/>
  <c r="AX367" i="5"/>
  <c r="AY367" i="5"/>
  <c r="AX479" i="5"/>
  <c r="AY479" i="5"/>
  <c r="BC479" i="5"/>
  <c r="AY338" i="5"/>
  <c r="AX338" i="5"/>
  <c r="AX368" i="5"/>
  <c r="AY368" i="5"/>
  <c r="AX378" i="5"/>
  <c r="AY378" i="5"/>
  <c r="BC378" i="5"/>
  <c r="AY545" i="5"/>
  <c r="AX545" i="5"/>
  <c r="AY478" i="5"/>
  <c r="AX478" i="5"/>
  <c r="AX522" i="5"/>
  <c r="AY522" i="5"/>
  <c r="BC522" i="5"/>
  <c r="AX285" i="5"/>
  <c r="AY285" i="5"/>
  <c r="AY501" i="5"/>
  <c r="AX501" i="5"/>
  <c r="AY433" i="5"/>
  <c r="AX433" i="5"/>
  <c r="BC433" i="5"/>
  <c r="AY520" i="5"/>
  <c r="AX520" i="5"/>
  <c r="AY469" i="5"/>
  <c r="AX469" i="5"/>
  <c r="AX361" i="5"/>
  <c r="AY361" i="5"/>
  <c r="BC361" i="5"/>
  <c r="AY477" i="5"/>
  <c r="AX477" i="5"/>
  <c r="AY410" i="5"/>
  <c r="BC410" i="5"/>
  <c r="AX410" i="5"/>
  <c r="AY362" i="5"/>
  <c r="AX362" i="5"/>
  <c r="AX374" i="5"/>
  <c r="BC374" i="5"/>
  <c r="AY374" i="5"/>
  <c r="AY543" i="5"/>
  <c r="AX543" i="5"/>
  <c r="AY475" i="5"/>
  <c r="AX475" i="5"/>
  <c r="BC475" i="5"/>
  <c r="AX516" i="5"/>
  <c r="AY516" i="5"/>
  <c r="AY279" i="5"/>
  <c r="AX279" i="5"/>
  <c r="AY496" i="5"/>
  <c r="AX496" i="5"/>
  <c r="BC496" i="5"/>
  <c r="AX425" i="5"/>
  <c r="AY425" i="5"/>
  <c r="BC425" i="5"/>
  <c r="AY518" i="5"/>
  <c r="AX518" i="5"/>
  <c r="BC518" i="5"/>
  <c r="AX466" i="5"/>
  <c r="AY466" i="5"/>
  <c r="AY288" i="5"/>
  <c r="AX288" i="5"/>
  <c r="AX476" i="5"/>
  <c r="AY476" i="5"/>
  <c r="AX409" i="5"/>
  <c r="AY409" i="5"/>
  <c r="BC409" i="5"/>
  <c r="AY343" i="5"/>
  <c r="AX343" i="5"/>
  <c r="BC343" i="5"/>
  <c r="AX366" i="5"/>
  <c r="AY366" i="5"/>
  <c r="BC366" i="5"/>
  <c r="AX412" i="5"/>
  <c r="AY412" i="5"/>
  <c r="AX356" i="5"/>
  <c r="AY356" i="5"/>
  <c r="AX340" i="5"/>
  <c r="AY340" i="5"/>
  <c r="AX277" i="5"/>
  <c r="AY277" i="5"/>
  <c r="AY320" i="5"/>
  <c r="AX320" i="5"/>
  <c r="AY257" i="5"/>
  <c r="AX257" i="5"/>
  <c r="BC257" i="5"/>
  <c r="AY305" i="5"/>
  <c r="AX305" i="5"/>
  <c r="AX211" i="5"/>
  <c r="AY211" i="5"/>
  <c r="AX193" i="5"/>
  <c r="AY193" i="5"/>
  <c r="AX167" i="5"/>
  <c r="AY167" i="5"/>
  <c r="AX194" i="5"/>
  <c r="AY194" i="5"/>
  <c r="AX165" i="5"/>
  <c r="AY165" i="5"/>
  <c r="BC165" i="5"/>
  <c r="AX159" i="5"/>
  <c r="AY159" i="5"/>
  <c r="AX110" i="5"/>
  <c r="AY110" i="5"/>
  <c r="AX127" i="5"/>
  <c r="AY127" i="5"/>
  <c r="AX118" i="5"/>
  <c r="AY118" i="5"/>
  <c r="AX109" i="5"/>
  <c r="AY109" i="5"/>
  <c r="AX74" i="5"/>
  <c r="AY74" i="5"/>
  <c r="AX50" i="5"/>
  <c r="AY50" i="5"/>
  <c r="AX42" i="5"/>
  <c r="AY42" i="5"/>
  <c r="AX43" i="5"/>
  <c r="AY43" i="5"/>
  <c r="AX408" i="5"/>
  <c r="AY408" i="5"/>
  <c r="BC408" i="5"/>
  <c r="AX350" i="5"/>
  <c r="AY350" i="5"/>
  <c r="BC350" i="5"/>
  <c r="AY334" i="5"/>
  <c r="AX334" i="5"/>
  <c r="BC334" i="5"/>
  <c r="AY276" i="5"/>
  <c r="AX276" i="5"/>
  <c r="AX315" i="5"/>
  <c r="AY315" i="5"/>
  <c r="AY255" i="5"/>
  <c r="AX255" i="5"/>
  <c r="AX302" i="5"/>
  <c r="AY302" i="5"/>
  <c r="AX208" i="5"/>
  <c r="AY208" i="5"/>
  <c r="AX192" i="5"/>
  <c r="AY192" i="5"/>
  <c r="BC192" i="5"/>
  <c r="AX244" i="5"/>
  <c r="AY244" i="5"/>
  <c r="BC244" i="5"/>
  <c r="AX162" i="5"/>
  <c r="AY162" i="5"/>
  <c r="BC162" i="5"/>
  <c r="AY137" i="5"/>
  <c r="AX137" i="5"/>
  <c r="AX139" i="5"/>
  <c r="AY139" i="5"/>
  <c r="AX108" i="5"/>
  <c r="AY108" i="5"/>
  <c r="AY122" i="5"/>
  <c r="AX122" i="5"/>
  <c r="AY117" i="5"/>
  <c r="AX117" i="5"/>
  <c r="AY104" i="5"/>
  <c r="AX104" i="5"/>
  <c r="AY73" i="5"/>
  <c r="AX73" i="5"/>
  <c r="AY49" i="5"/>
  <c r="AX49" i="5"/>
  <c r="AY39" i="5"/>
  <c r="AX39" i="5"/>
  <c r="AX37" i="5"/>
  <c r="AY37" i="5"/>
  <c r="AX399" i="5"/>
  <c r="AY399" i="5"/>
  <c r="BC399" i="5"/>
  <c r="AX346" i="5"/>
  <c r="AY346" i="5"/>
  <c r="AX333" i="5"/>
  <c r="AY333" i="5"/>
  <c r="BC333" i="5"/>
  <c r="AY273" i="5"/>
  <c r="AX273" i="5"/>
  <c r="AY314" i="5"/>
  <c r="AX314" i="5"/>
  <c r="AX254" i="5"/>
  <c r="AY254" i="5"/>
  <c r="BC254" i="5"/>
  <c r="AY298" i="5"/>
  <c r="AX298" i="5"/>
  <c r="AY163" i="5"/>
  <c r="AX163" i="5"/>
  <c r="AX189" i="5"/>
  <c r="AY189" i="5"/>
  <c r="AX242" i="5"/>
  <c r="AY242" i="5"/>
  <c r="AY160" i="5"/>
  <c r="AX160" i="5"/>
  <c r="AY119" i="5"/>
  <c r="AX119" i="5"/>
  <c r="AX113" i="5"/>
  <c r="AY113" i="5"/>
  <c r="AY105" i="5"/>
  <c r="AX105" i="5"/>
  <c r="AX116" i="5"/>
  <c r="AY116" i="5"/>
  <c r="AX112" i="5"/>
  <c r="AY112" i="5"/>
  <c r="AY101" i="5"/>
  <c r="AX101" i="5"/>
  <c r="AY68" i="5"/>
  <c r="AX68" i="5"/>
  <c r="AX47" i="5"/>
  <c r="AY47" i="5"/>
  <c r="AX35" i="5"/>
  <c r="AY35" i="5"/>
  <c r="AX31" i="5"/>
  <c r="AY31" i="5"/>
  <c r="AX271" i="5"/>
  <c r="AY271" i="5"/>
  <c r="AX380" i="5"/>
  <c r="AY380" i="5"/>
  <c r="BC380" i="5"/>
  <c r="AX313" i="5"/>
  <c r="AY313" i="5"/>
  <c r="AY311" i="5"/>
  <c r="AX311" i="5"/>
  <c r="AY252" i="5"/>
  <c r="AX252" i="5"/>
  <c r="BC252" i="5"/>
  <c r="AY295" i="5"/>
  <c r="AX295" i="5"/>
  <c r="AX225" i="5"/>
  <c r="AY225" i="5"/>
  <c r="AX272" i="5"/>
  <c r="AY272" i="5"/>
  <c r="AY224" i="5"/>
  <c r="AX224" i="5"/>
  <c r="AX169" i="5"/>
  <c r="AY169" i="5"/>
  <c r="AX226" i="5"/>
  <c r="AY226" i="5"/>
  <c r="AY205" i="5"/>
  <c r="AX205" i="5"/>
  <c r="BC205" i="5"/>
  <c r="AX156" i="5"/>
  <c r="AY156" i="5"/>
  <c r="AY147" i="5"/>
  <c r="AX147" i="5"/>
  <c r="AY157" i="5"/>
  <c r="AX157" i="5"/>
  <c r="AX152" i="5"/>
  <c r="AY152" i="5"/>
  <c r="AY107" i="5"/>
  <c r="AX107" i="5"/>
  <c r="AY81" i="5"/>
  <c r="AX81" i="5"/>
  <c r="AY40" i="5"/>
  <c r="AX40" i="5"/>
  <c r="AY59" i="5"/>
  <c r="AX59" i="5"/>
  <c r="BC46" i="5"/>
  <c r="AY46" i="5"/>
  <c r="AX46" i="5"/>
  <c r="BC372" i="5"/>
  <c r="BC200" i="5"/>
  <c r="BC50" i="5"/>
  <c r="BC107" i="5"/>
  <c r="BC303" i="5"/>
  <c r="BC123" i="5"/>
  <c r="BC322" i="5"/>
  <c r="AL165" i="5"/>
  <c r="AL153" i="5"/>
  <c r="AK156" i="5"/>
  <c r="BE48" i="5"/>
  <c r="AU12" i="5"/>
  <c r="AV12" i="5"/>
  <c r="AK49" i="5"/>
  <c r="AK28" i="5"/>
  <c r="BE55" i="5"/>
  <c r="BD35" i="5"/>
  <c r="BE237" i="5"/>
  <c r="AY12" i="5"/>
  <c r="AX12" i="5"/>
  <c r="AK13" i="5"/>
  <c r="AL13" i="5"/>
  <c r="BE195" i="5"/>
  <c r="BE127" i="5"/>
  <c r="BE82" i="5"/>
  <c r="BD100" i="5"/>
  <c r="BE114" i="5"/>
  <c r="BD86" i="5"/>
  <c r="BE133" i="5"/>
  <c r="U12" i="5"/>
  <c r="V12" i="5"/>
  <c r="BD287" i="5"/>
  <c r="BD59" i="5"/>
  <c r="AL516" i="5"/>
  <c r="AK516" i="5"/>
  <c r="AL290" i="5"/>
  <c r="AK290" i="5"/>
  <c r="AL243" i="5"/>
  <c r="AK243" i="5"/>
  <c r="AL374" i="5"/>
  <c r="AK374" i="5"/>
  <c r="AK151" i="5"/>
  <c r="AL151" i="5"/>
  <c r="AL152" i="5"/>
  <c r="AK152" i="5"/>
  <c r="AK65" i="5"/>
  <c r="AL65" i="5"/>
  <c r="AK489" i="5"/>
  <c r="AL489" i="5"/>
  <c r="AK515" i="5"/>
  <c r="AL515" i="5"/>
  <c r="AL377" i="5"/>
  <c r="AK377" i="5"/>
  <c r="AL134" i="5"/>
  <c r="AK134" i="5"/>
  <c r="AL342" i="5"/>
  <c r="AK342" i="5"/>
  <c r="AK463" i="5"/>
  <c r="AL463" i="5"/>
  <c r="AL323" i="5"/>
  <c r="AK323" i="5"/>
  <c r="AK281" i="5"/>
  <c r="AL281" i="5"/>
  <c r="AK163" i="5"/>
  <c r="AL163" i="5"/>
  <c r="AL175" i="5"/>
  <c r="AK175" i="5"/>
  <c r="AL474" i="5"/>
  <c r="AK474" i="5"/>
  <c r="AL466" i="5"/>
  <c r="AK466" i="5"/>
  <c r="AK400" i="5"/>
  <c r="AL400" i="5"/>
  <c r="AK453" i="5"/>
  <c r="AL453" i="5"/>
  <c r="AL546" i="5"/>
  <c r="AK546" i="5"/>
  <c r="AL413" i="5"/>
  <c r="AK413" i="5"/>
  <c r="AK491" i="5"/>
  <c r="AL491" i="5"/>
  <c r="AK258" i="5"/>
  <c r="AL258" i="5"/>
  <c r="AL300" i="5"/>
  <c r="AK300" i="5"/>
  <c r="AK196" i="5"/>
  <c r="AL196" i="5"/>
  <c r="AK359" i="5"/>
  <c r="AL359" i="5"/>
  <c r="AK206" i="5"/>
  <c r="AL206" i="5"/>
  <c r="AK207" i="5"/>
  <c r="AL207" i="5"/>
  <c r="AL467" i="5"/>
  <c r="AK467" i="5"/>
  <c r="AK385" i="5"/>
  <c r="AL385" i="5"/>
  <c r="AK462" i="5"/>
  <c r="AL462" i="5"/>
  <c r="AL244" i="5"/>
  <c r="AK244" i="5"/>
  <c r="AL160" i="5"/>
  <c r="AK160" i="5"/>
  <c r="AL495" i="5"/>
  <c r="AK495" i="5"/>
  <c r="AK501" i="5"/>
  <c r="AL501" i="5"/>
  <c r="AK267" i="5"/>
  <c r="AL267" i="5"/>
  <c r="AL217" i="5"/>
  <c r="AK217" i="5"/>
  <c r="AK63" i="5"/>
  <c r="AL63" i="5"/>
  <c r="AK465" i="5"/>
  <c r="AL465" i="5"/>
  <c r="AK531" i="5"/>
  <c r="AL531" i="5"/>
  <c r="AL337" i="5"/>
  <c r="AK337" i="5"/>
  <c r="AK21" i="5"/>
  <c r="AL21" i="5"/>
  <c r="AL114" i="5"/>
  <c r="AK114" i="5"/>
  <c r="AL420" i="5"/>
  <c r="AK420" i="5"/>
  <c r="AK481" i="5"/>
  <c r="AL481" i="5"/>
  <c r="AK279" i="5"/>
  <c r="AL279" i="5"/>
  <c r="AK37" i="5"/>
  <c r="AL37" i="5"/>
  <c r="AL430" i="5"/>
  <c r="AK430" i="5"/>
  <c r="AK346" i="5"/>
  <c r="AL346" i="5"/>
  <c r="AK423" i="5"/>
  <c r="AL423" i="5"/>
  <c r="AL177" i="5"/>
  <c r="AK177" i="5"/>
  <c r="AK92" i="5"/>
  <c r="AL92" i="5"/>
  <c r="AL102" i="5"/>
  <c r="AK102" i="5"/>
  <c r="AL140" i="5"/>
  <c r="AK140" i="5"/>
  <c r="AL112" i="5"/>
  <c r="AK112" i="5"/>
  <c r="AL484" i="5"/>
  <c r="AK484" i="5"/>
  <c r="AK556" i="5"/>
  <c r="AL556" i="5"/>
  <c r="AL412" i="5"/>
  <c r="AK412" i="5"/>
  <c r="AK558" i="5"/>
  <c r="AL558" i="5"/>
  <c r="AK370" i="5"/>
  <c r="AL370" i="5"/>
  <c r="AK553" i="5"/>
  <c r="AL553" i="5"/>
  <c r="AL476" i="5"/>
  <c r="AK476" i="5"/>
  <c r="AL552" i="5"/>
  <c r="AK552" i="5"/>
  <c r="AL443" i="5"/>
  <c r="AK443" i="5"/>
  <c r="AK425" i="5"/>
  <c r="AL425" i="5"/>
  <c r="AL245" i="5"/>
  <c r="AK245" i="5"/>
  <c r="AL313" i="5"/>
  <c r="AK313" i="5"/>
  <c r="AK224" i="5"/>
  <c r="AL224" i="5"/>
  <c r="AK25" i="5"/>
  <c r="AL25" i="5"/>
  <c r="AL171" i="5"/>
  <c r="AK171" i="5"/>
  <c r="AK159" i="5"/>
  <c r="AL159" i="5"/>
  <c r="AL120" i="5"/>
  <c r="AK120" i="5"/>
  <c r="AK201" i="5"/>
  <c r="AL201" i="5"/>
  <c r="AL455" i="5"/>
  <c r="AK455" i="5"/>
  <c r="AK452" i="5"/>
  <c r="AL452" i="5"/>
  <c r="AK410" i="5"/>
  <c r="AL410" i="5"/>
  <c r="AK422" i="5"/>
  <c r="AL422" i="5"/>
  <c r="AK503" i="5"/>
  <c r="AL503" i="5"/>
  <c r="AK352" i="5"/>
  <c r="AL352" i="5"/>
  <c r="AL470" i="5"/>
  <c r="AK470" i="5"/>
  <c r="AK257" i="5"/>
  <c r="AL257" i="5"/>
  <c r="AL322" i="5"/>
  <c r="AK322" i="5"/>
  <c r="AK363" i="5"/>
  <c r="AL363" i="5"/>
  <c r="AK142" i="5"/>
  <c r="AL142" i="5"/>
  <c r="AL211" i="5"/>
  <c r="AK211" i="5"/>
  <c r="AK32" i="5"/>
  <c r="AL32" i="5"/>
  <c r="AK110" i="5"/>
  <c r="AL110" i="5"/>
  <c r="AL85" i="5"/>
  <c r="AK85" i="5"/>
  <c r="AK86" i="5"/>
  <c r="AL86" i="5"/>
  <c r="AK554" i="5"/>
  <c r="AL554" i="5"/>
  <c r="AK111" i="5"/>
  <c r="AL111" i="5"/>
  <c r="AL428" i="5"/>
  <c r="AK428" i="5"/>
  <c r="AL436" i="5"/>
  <c r="AK436" i="5"/>
  <c r="AK402" i="5"/>
  <c r="AL402" i="5"/>
  <c r="AK406" i="5"/>
  <c r="AL406" i="5"/>
  <c r="AK490" i="5"/>
  <c r="AL490" i="5"/>
  <c r="AK327" i="5"/>
  <c r="AL327" i="5"/>
  <c r="AL456" i="5"/>
  <c r="AK456" i="5"/>
  <c r="AK135" i="5"/>
  <c r="AL135" i="5"/>
  <c r="AK310" i="5"/>
  <c r="AL310" i="5"/>
  <c r="AK347" i="5"/>
  <c r="AL347" i="5"/>
  <c r="AL39" i="5"/>
  <c r="AK39" i="5"/>
  <c r="AK197" i="5"/>
  <c r="AL197" i="5"/>
  <c r="AK368" i="5"/>
  <c r="AL368" i="5"/>
  <c r="AK538" i="5"/>
  <c r="AL538" i="5"/>
  <c r="AK477" i="5"/>
  <c r="AL477" i="5"/>
  <c r="AK415" i="5"/>
  <c r="AL415" i="5"/>
  <c r="AL266" i="5"/>
  <c r="AK266" i="5"/>
  <c r="AK395" i="5"/>
  <c r="AL395" i="5"/>
  <c r="AK331" i="5"/>
  <c r="AL331" i="5"/>
  <c r="AK213" i="5"/>
  <c r="AL213" i="5"/>
  <c r="AL527" i="5"/>
  <c r="AK527" i="5"/>
  <c r="AL475" i="5"/>
  <c r="AK475" i="5"/>
  <c r="AK367" i="5"/>
  <c r="AL367" i="5"/>
  <c r="AK287" i="5"/>
  <c r="AL287" i="5"/>
  <c r="AL305" i="5"/>
  <c r="AK305" i="5"/>
  <c r="AL250" i="5"/>
  <c r="AK250" i="5"/>
  <c r="AL178" i="5"/>
  <c r="AK178" i="5"/>
  <c r="AK214" i="5"/>
  <c r="AL214" i="5"/>
  <c r="AK99" i="5"/>
  <c r="AL99" i="5"/>
  <c r="AL284" i="5"/>
  <c r="AK284" i="5"/>
  <c r="AL215" i="5"/>
  <c r="AK215" i="5"/>
  <c r="AL170" i="5"/>
  <c r="AK170" i="5"/>
  <c r="AK50" i="5"/>
  <c r="AL50" i="5"/>
  <c r="AL306" i="5"/>
  <c r="AK306" i="5"/>
  <c r="AK23" i="5"/>
  <c r="AL23" i="5"/>
  <c r="AL511" i="5"/>
  <c r="AK511" i="5"/>
  <c r="AK398" i="5"/>
  <c r="AL398" i="5"/>
  <c r="AK343" i="5"/>
  <c r="AL343" i="5"/>
  <c r="AL227" i="5"/>
  <c r="AK227" i="5"/>
  <c r="AL278" i="5"/>
  <c r="AK278" i="5"/>
  <c r="AL234" i="5"/>
  <c r="AK234" i="5"/>
  <c r="AK30" i="5"/>
  <c r="AL30" i="5"/>
  <c r="AK190" i="5"/>
  <c r="AL190" i="5"/>
  <c r="AL326" i="5"/>
  <c r="AK326" i="5"/>
  <c r="AK259" i="5"/>
  <c r="AL259" i="5"/>
  <c r="AK189" i="5"/>
  <c r="AL189" i="5"/>
  <c r="AK133" i="5"/>
  <c r="AL133" i="5"/>
  <c r="AK157" i="5"/>
  <c r="AL157" i="5"/>
  <c r="AK209" i="5"/>
  <c r="AL209" i="5"/>
  <c r="AK514" i="5"/>
  <c r="AL514" i="5"/>
  <c r="AL451" i="5"/>
  <c r="AK451" i="5"/>
  <c r="AL389" i="5"/>
  <c r="AK389" i="5"/>
  <c r="AL433" i="5"/>
  <c r="AK433" i="5"/>
  <c r="AL365" i="5"/>
  <c r="AK365" i="5"/>
  <c r="AL301" i="5"/>
  <c r="AK301" i="5"/>
  <c r="AL559" i="5"/>
  <c r="AK559" i="5"/>
  <c r="AK509" i="5"/>
  <c r="AL509" i="5"/>
  <c r="AK396" i="5"/>
  <c r="AL396" i="5"/>
  <c r="AK339" i="5"/>
  <c r="AL339" i="5"/>
  <c r="AK194" i="5"/>
  <c r="AL194" i="5"/>
  <c r="AL276" i="5"/>
  <c r="AK276" i="5"/>
  <c r="AL231" i="5"/>
  <c r="AK231" i="5"/>
  <c r="AK20" i="5"/>
  <c r="AL20" i="5"/>
  <c r="AK186" i="5"/>
  <c r="AL186" i="5"/>
  <c r="AK319" i="5"/>
  <c r="AL319" i="5"/>
  <c r="AK255" i="5"/>
  <c r="AL255" i="5"/>
  <c r="AK185" i="5"/>
  <c r="AL185" i="5"/>
  <c r="AK129" i="5"/>
  <c r="AL129" i="5"/>
  <c r="AK141" i="5"/>
  <c r="AL141" i="5"/>
  <c r="AL38" i="5"/>
  <c r="AK38" i="5"/>
  <c r="AK358" i="5"/>
  <c r="AL358" i="5"/>
  <c r="AL448" i="5"/>
  <c r="AK448" i="5"/>
  <c r="AL69" i="5"/>
  <c r="AK69" i="5"/>
  <c r="AK103" i="5"/>
  <c r="AL103" i="5"/>
  <c r="AK505" i="5"/>
  <c r="AL505" i="5"/>
  <c r="AL26" i="5"/>
  <c r="AK26" i="5"/>
  <c r="AK122" i="5"/>
  <c r="AL122" i="5"/>
  <c r="AL460" i="5"/>
  <c r="AK460" i="5"/>
  <c r="AL440" i="5"/>
  <c r="AK440" i="5"/>
  <c r="AL472" i="5"/>
  <c r="AK472" i="5"/>
  <c r="AK328" i="5"/>
  <c r="AL328" i="5"/>
  <c r="AK226" i="5"/>
  <c r="AL226" i="5"/>
  <c r="AL81" i="5"/>
  <c r="AK81" i="5"/>
  <c r="AK285" i="5"/>
  <c r="AL285" i="5"/>
  <c r="AL479" i="5"/>
  <c r="AK479" i="5"/>
  <c r="AL502" i="5"/>
  <c r="AK502" i="5"/>
  <c r="AL469" i="5"/>
  <c r="AK469" i="5"/>
  <c r="AK53" i="5"/>
  <c r="AL53" i="5"/>
  <c r="AK488" i="5"/>
  <c r="AL488" i="5"/>
  <c r="AK341" i="5"/>
  <c r="AL341" i="5"/>
  <c r="AK265" i="5"/>
  <c r="AL265" i="5"/>
  <c r="AL493" i="5"/>
  <c r="AK493" i="5"/>
  <c r="AK298" i="5"/>
  <c r="AL298" i="5"/>
  <c r="AL249" i="5"/>
  <c r="AK249" i="5"/>
  <c r="AL379" i="5"/>
  <c r="AK379" i="5"/>
  <c r="AK320" i="5"/>
  <c r="AL320" i="5"/>
  <c r="AL229" i="5"/>
  <c r="AK229" i="5"/>
  <c r="AK228" i="5"/>
  <c r="AL228" i="5"/>
  <c r="AK82" i="5"/>
  <c r="AL82" i="5"/>
  <c r="AL464" i="5"/>
  <c r="AK464" i="5"/>
  <c r="AL294" i="5"/>
  <c r="AK294" i="5"/>
  <c r="AK76" i="5"/>
  <c r="AL76" i="5"/>
  <c r="AL275" i="5"/>
  <c r="AK275" i="5"/>
  <c r="AK34" i="5"/>
  <c r="AL34" i="5"/>
  <c r="AL530" i="5"/>
  <c r="AK530" i="5"/>
  <c r="AK253" i="5"/>
  <c r="AL253" i="5"/>
  <c r="AK127" i="5"/>
  <c r="AL127" i="5"/>
  <c r="AL355" i="5"/>
  <c r="AK355" i="5"/>
  <c r="AK292" i="5"/>
  <c r="AL292" i="5"/>
  <c r="AL202" i="5"/>
  <c r="AK202" i="5"/>
  <c r="AK270" i="5"/>
  <c r="AL270" i="5"/>
  <c r="AK29" i="5"/>
  <c r="AL29" i="5"/>
  <c r="AL68" i="5"/>
  <c r="AK68" i="5"/>
  <c r="AL369" i="5"/>
  <c r="AK369" i="5"/>
  <c r="AK155" i="5"/>
  <c r="AL155" i="5"/>
  <c r="AL48" i="5"/>
  <c r="AK48" i="5"/>
  <c r="AL391" i="5"/>
  <c r="AK391" i="5"/>
  <c r="AK94" i="5"/>
  <c r="AL94" i="5"/>
  <c r="AK557" i="5"/>
  <c r="AL557" i="5"/>
  <c r="AK384" i="5"/>
  <c r="AL384" i="5"/>
  <c r="AK390" i="5"/>
  <c r="AL390" i="5"/>
  <c r="AL96" i="5"/>
  <c r="AK96" i="5"/>
  <c r="AK47" i="5"/>
  <c r="AL47" i="5"/>
  <c r="AK382" i="5"/>
  <c r="AL382" i="5"/>
  <c r="AK295" i="5"/>
  <c r="AL295" i="5"/>
  <c r="AL330" i="5"/>
  <c r="AK330" i="5"/>
  <c r="AK118" i="5"/>
  <c r="AL118" i="5"/>
  <c r="AK522" i="5"/>
  <c r="AL522" i="5"/>
  <c r="AK537" i="5"/>
  <c r="AL537" i="5"/>
  <c r="AK405" i="5"/>
  <c r="AL405" i="5"/>
  <c r="AK113" i="5"/>
  <c r="AL113" i="5"/>
  <c r="AK35" i="5"/>
  <c r="AL35" i="5"/>
  <c r="AK126" i="5"/>
  <c r="AL126" i="5"/>
  <c r="AL8" i="5"/>
  <c r="AK8" i="5"/>
  <c r="AL54" i="5"/>
  <c r="AK54" i="5"/>
  <c r="AK414" i="5"/>
  <c r="AL414" i="5"/>
  <c r="AK518" i="5"/>
  <c r="AL518" i="5"/>
  <c r="AK364" i="5"/>
  <c r="AL364" i="5"/>
  <c r="AK482" i="5"/>
  <c r="AL482" i="5"/>
  <c r="AK338" i="5"/>
  <c r="AL338" i="5"/>
  <c r="AK521" i="5"/>
  <c r="AL521" i="5"/>
  <c r="AK445" i="5"/>
  <c r="AL445" i="5"/>
  <c r="AK536" i="5"/>
  <c r="AL536" i="5"/>
  <c r="AK411" i="5"/>
  <c r="AL411" i="5"/>
  <c r="AK392" i="5"/>
  <c r="AL392" i="5"/>
  <c r="AL535" i="5"/>
  <c r="AK535" i="5"/>
  <c r="AL316" i="5"/>
  <c r="AK316" i="5"/>
  <c r="AL123" i="5"/>
  <c r="AK123" i="5"/>
  <c r="AL80" i="5"/>
  <c r="AK80" i="5"/>
  <c r="AK106" i="5"/>
  <c r="AL106" i="5"/>
  <c r="AL70" i="5"/>
  <c r="AK70" i="5"/>
  <c r="AK457" i="5"/>
  <c r="AL457" i="5"/>
  <c r="AK534" i="5"/>
  <c r="AL534" i="5"/>
  <c r="AK404" i="5"/>
  <c r="AL404" i="5"/>
  <c r="AL545" i="5"/>
  <c r="AK545" i="5"/>
  <c r="AL362" i="5"/>
  <c r="AK362" i="5"/>
  <c r="AK549" i="5"/>
  <c r="AL549" i="5"/>
  <c r="AL471" i="5"/>
  <c r="AK471" i="5"/>
  <c r="AK550" i="5"/>
  <c r="AL550" i="5"/>
  <c r="AL439" i="5"/>
  <c r="AK439" i="5"/>
  <c r="AL421" i="5"/>
  <c r="AK421" i="5"/>
  <c r="AK205" i="5"/>
  <c r="AL205" i="5"/>
  <c r="AK282" i="5"/>
  <c r="AL282" i="5"/>
  <c r="AK210" i="5"/>
  <c r="AL210" i="5"/>
  <c r="AL168" i="5"/>
  <c r="AK168" i="5"/>
  <c r="AK79" i="5"/>
  <c r="AL79" i="5"/>
  <c r="AK191" i="5"/>
  <c r="AL191" i="5"/>
  <c r="AL124" i="5"/>
  <c r="AK124" i="5"/>
  <c r="AK31" i="5"/>
  <c r="AL31" i="5"/>
  <c r="AK444" i="5"/>
  <c r="AL444" i="5"/>
  <c r="AL526" i="5"/>
  <c r="AK526" i="5"/>
  <c r="AL380" i="5"/>
  <c r="AK380" i="5"/>
  <c r="AK528" i="5"/>
  <c r="AL528" i="5"/>
  <c r="AL354" i="5"/>
  <c r="AK354" i="5"/>
  <c r="AL541" i="5"/>
  <c r="AK541" i="5"/>
  <c r="AL458" i="5"/>
  <c r="AK458" i="5"/>
  <c r="AK544" i="5"/>
  <c r="AL544" i="5"/>
  <c r="AK427" i="5"/>
  <c r="AL427" i="5"/>
  <c r="AL409" i="5"/>
  <c r="AK409" i="5"/>
  <c r="AK60" i="5"/>
  <c r="AL60" i="5"/>
  <c r="AK237" i="5"/>
  <c r="AL237" i="5"/>
  <c r="AK192" i="5"/>
  <c r="AL192" i="5"/>
  <c r="AL150" i="5"/>
  <c r="AK150" i="5"/>
  <c r="AL336" i="5"/>
  <c r="AK336" i="5"/>
  <c r="AK524" i="5"/>
  <c r="AL524" i="5"/>
  <c r="AL461" i="5"/>
  <c r="AK461" i="5"/>
  <c r="AL399" i="5"/>
  <c r="AK399" i="5"/>
  <c r="AK232" i="5"/>
  <c r="AL232" i="5"/>
  <c r="AK381" i="5"/>
  <c r="AL381" i="5"/>
  <c r="AL314" i="5"/>
  <c r="AK314" i="5"/>
  <c r="AL95" i="5"/>
  <c r="AK95" i="5"/>
  <c r="AL517" i="5"/>
  <c r="AK517" i="5"/>
  <c r="AL459" i="5"/>
  <c r="AK459" i="5"/>
  <c r="AL351" i="5"/>
  <c r="AK351" i="5"/>
  <c r="AK247" i="5"/>
  <c r="AL247" i="5"/>
  <c r="AL289" i="5"/>
  <c r="AK289" i="5"/>
  <c r="AK241" i="5"/>
  <c r="AL241" i="5"/>
  <c r="AK57" i="5"/>
  <c r="AL57" i="5"/>
  <c r="AL198" i="5"/>
  <c r="AK198" i="5"/>
  <c r="AL46" i="5"/>
  <c r="AK46" i="5"/>
  <c r="AL268" i="5"/>
  <c r="AK268" i="5"/>
  <c r="AL199" i="5"/>
  <c r="AK199" i="5"/>
  <c r="AL154" i="5"/>
  <c r="AK154" i="5"/>
  <c r="AK173" i="5"/>
  <c r="AL173" i="5"/>
  <c r="AK274" i="5"/>
  <c r="AL274" i="5"/>
  <c r="AK547" i="5"/>
  <c r="AL547" i="5"/>
  <c r="AK496" i="5"/>
  <c r="AL496" i="5"/>
  <c r="AK388" i="5"/>
  <c r="AL388" i="5"/>
  <c r="AK325" i="5"/>
  <c r="AL325" i="5"/>
  <c r="AK119" i="5"/>
  <c r="AL119" i="5"/>
  <c r="AL262" i="5"/>
  <c r="AK262" i="5"/>
  <c r="AK216" i="5"/>
  <c r="AL216" i="5"/>
  <c r="AK238" i="5"/>
  <c r="AL238" i="5"/>
  <c r="AL148" i="5"/>
  <c r="AK148" i="5"/>
  <c r="AL307" i="5"/>
  <c r="AK307" i="5"/>
  <c r="AK239" i="5"/>
  <c r="AL239" i="5"/>
  <c r="AK89" i="5"/>
  <c r="AL89" i="5"/>
  <c r="AK101" i="5"/>
  <c r="AL101" i="5"/>
  <c r="AK59" i="5"/>
  <c r="AL59" i="5"/>
  <c r="AK548" i="5"/>
  <c r="AL548" i="5"/>
  <c r="AK499" i="5"/>
  <c r="AL499" i="5"/>
  <c r="AL435" i="5"/>
  <c r="AK435" i="5"/>
  <c r="AK303" i="5"/>
  <c r="AL303" i="5"/>
  <c r="AL417" i="5"/>
  <c r="AK417" i="5"/>
  <c r="AK349" i="5"/>
  <c r="AL349" i="5"/>
  <c r="AL269" i="5"/>
  <c r="AK269" i="5"/>
  <c r="AK543" i="5"/>
  <c r="AL543" i="5"/>
  <c r="AK494" i="5"/>
  <c r="AL494" i="5"/>
  <c r="AL383" i="5"/>
  <c r="AK383" i="5"/>
  <c r="AK321" i="5"/>
  <c r="AL321" i="5"/>
  <c r="AK324" i="5"/>
  <c r="AL324" i="5"/>
  <c r="AK260" i="5"/>
  <c r="AL260" i="5"/>
  <c r="AL212" i="5"/>
  <c r="AK212" i="5"/>
  <c r="AK235" i="5"/>
  <c r="AL235" i="5"/>
  <c r="AL139" i="5"/>
  <c r="AK139" i="5"/>
  <c r="AK302" i="5"/>
  <c r="AL302" i="5"/>
  <c r="AL233" i="5"/>
  <c r="AK233" i="5"/>
  <c r="AL62" i="5"/>
  <c r="AK62" i="5"/>
  <c r="AK97" i="5"/>
  <c r="AL97" i="5"/>
  <c r="AK33" i="5"/>
  <c r="AL33" i="5"/>
  <c r="AL432" i="5"/>
  <c r="AK432" i="5"/>
  <c r="AK88" i="5"/>
  <c r="AL88" i="5"/>
  <c r="AK280" i="5"/>
  <c r="AL280" i="5"/>
  <c r="AK19" i="5"/>
  <c r="AL19" i="5"/>
  <c r="AK137" i="5"/>
  <c r="AL137" i="5"/>
  <c r="AK542" i="5"/>
  <c r="AL542" i="5"/>
  <c r="AK74" i="5"/>
  <c r="AL74" i="5"/>
  <c r="AK149" i="5"/>
  <c r="AL149" i="5"/>
  <c r="AK272" i="5"/>
  <c r="AL272" i="5"/>
  <c r="AK418" i="5"/>
  <c r="AL418" i="5"/>
  <c r="AK360" i="5"/>
  <c r="AL360" i="5"/>
  <c r="AK261" i="5"/>
  <c r="AL261" i="5"/>
  <c r="AK204" i="5"/>
  <c r="AL204" i="5"/>
  <c r="AK116" i="5"/>
  <c r="AL116" i="5"/>
  <c r="AK487" i="5"/>
  <c r="AL487" i="5"/>
  <c r="AL438" i="5"/>
  <c r="AK438" i="5"/>
  <c r="AL416" i="5"/>
  <c r="AK416" i="5"/>
  <c r="AK353" i="5"/>
  <c r="AL353" i="5"/>
  <c r="AK248" i="5"/>
  <c r="AL248" i="5"/>
  <c r="AK42" i="5"/>
  <c r="AL42" i="5"/>
  <c r="AK22" i="5"/>
  <c r="AL22" i="5"/>
  <c r="AL334" i="5"/>
  <c r="AK334" i="5"/>
  <c r="AL78" i="5"/>
  <c r="AK78" i="5"/>
  <c r="AL434" i="5"/>
  <c r="AK434" i="5"/>
  <c r="AL560" i="5"/>
  <c r="AK560" i="5"/>
  <c r="AL293" i="5"/>
  <c r="AK293" i="5"/>
  <c r="AL236" i="5"/>
  <c r="AK236" i="5"/>
  <c r="AK408" i="5"/>
  <c r="AL408" i="5"/>
  <c r="AL431" i="5"/>
  <c r="AK431" i="5"/>
  <c r="AK345" i="5"/>
  <c r="AL345" i="5"/>
  <c r="AK539" i="5"/>
  <c r="AL539" i="5"/>
  <c r="AK317" i="5"/>
  <c r="AL317" i="5"/>
  <c r="AL208" i="5"/>
  <c r="AK208" i="5"/>
  <c r="AL131" i="5"/>
  <c r="AK131" i="5"/>
  <c r="AL52" i="5"/>
  <c r="AK52" i="5"/>
  <c r="AK523" i="5"/>
  <c r="AL523" i="5"/>
  <c r="AK277" i="5"/>
  <c r="AL277" i="5"/>
  <c r="AL246" i="5"/>
  <c r="AK246" i="5"/>
  <c r="AL73" i="5"/>
  <c r="AK73" i="5"/>
  <c r="AL162" i="5"/>
  <c r="AK162" i="5"/>
  <c r="AL344" i="5"/>
  <c r="AK344" i="5"/>
  <c r="AL403" i="5"/>
  <c r="AK403" i="5"/>
  <c r="AL318" i="5"/>
  <c r="AK318" i="5"/>
  <c r="AK519" i="5"/>
  <c r="AL519" i="5"/>
  <c r="AL264" i="5"/>
  <c r="AK264" i="5"/>
  <c r="AL67" i="5"/>
  <c r="AK67" i="5"/>
  <c r="AL55" i="5"/>
  <c r="AK55" i="5"/>
  <c r="AK203" i="5"/>
  <c r="AL203" i="5"/>
  <c r="AL497" i="5"/>
  <c r="AK497" i="5"/>
  <c r="AK340" i="5"/>
  <c r="AL340" i="5"/>
  <c r="AL446" i="5"/>
  <c r="AK446" i="5"/>
  <c r="AK183" i="5"/>
  <c r="AL183" i="5"/>
  <c r="AK311" i="5"/>
  <c r="AL311" i="5"/>
  <c r="AL145" i="5"/>
  <c r="AK145" i="5"/>
  <c r="AK426" i="5"/>
  <c r="AL426" i="5"/>
  <c r="AL486" i="5"/>
  <c r="AK486" i="5"/>
  <c r="AK220" i="5"/>
  <c r="AL220" i="5"/>
  <c r="AK58" i="5"/>
  <c r="AL58" i="5"/>
  <c r="AK498" i="5"/>
  <c r="AL498" i="5"/>
  <c r="AK386" i="5"/>
  <c r="AL386" i="5"/>
  <c r="AL454" i="5"/>
  <c r="AK454" i="5"/>
  <c r="AK240" i="5"/>
  <c r="AL240" i="5"/>
  <c r="AL167" i="5"/>
  <c r="AK167" i="5"/>
  <c r="AL372" i="5"/>
  <c r="AK372" i="5"/>
  <c r="AK449" i="5"/>
  <c r="AL449" i="5"/>
  <c r="AL551" i="5"/>
  <c r="AK551" i="5"/>
  <c r="AK72" i="5"/>
  <c r="AL72" i="5"/>
  <c r="AK51" i="5"/>
  <c r="AL51" i="5"/>
  <c r="AK90" i="5"/>
  <c r="AL90" i="5"/>
  <c r="AK108" i="5"/>
  <c r="AL108" i="5"/>
  <c r="AL128" i="5"/>
  <c r="AK128" i="5"/>
  <c r="AK350" i="5"/>
  <c r="AL350" i="5"/>
  <c r="AL492" i="5"/>
  <c r="AK492" i="5"/>
  <c r="AK304" i="5"/>
  <c r="AL304" i="5"/>
  <c r="AK442" i="5"/>
  <c r="AL442" i="5"/>
  <c r="AK41" i="5"/>
  <c r="AL41" i="5"/>
  <c r="AK473" i="5"/>
  <c r="AL473" i="5"/>
  <c r="AL424" i="5"/>
  <c r="AK424" i="5"/>
  <c r="AL504" i="5"/>
  <c r="AK504" i="5"/>
  <c r="AL332" i="5"/>
  <c r="AK332" i="5"/>
  <c r="AL357" i="5"/>
  <c r="AK357" i="5"/>
  <c r="AK485" i="5"/>
  <c r="AL485" i="5"/>
  <c r="AL256" i="5"/>
  <c r="AK256" i="5"/>
  <c r="AL297" i="5"/>
  <c r="AK297" i="5"/>
  <c r="AK98" i="5"/>
  <c r="AL98" i="5"/>
  <c r="AL104" i="5"/>
  <c r="AK104" i="5"/>
  <c r="AL187" i="5"/>
  <c r="AK187" i="5"/>
  <c r="AK397" i="5"/>
  <c r="AL397" i="5"/>
  <c r="AL510" i="5"/>
  <c r="AK510" i="5"/>
  <c r="AK356" i="5"/>
  <c r="AL356" i="5"/>
  <c r="AL468" i="5"/>
  <c r="AK468" i="5"/>
  <c r="AL329" i="5"/>
  <c r="AK329" i="5"/>
  <c r="AK512" i="5"/>
  <c r="AL512" i="5"/>
  <c r="AK441" i="5"/>
  <c r="AL441" i="5"/>
  <c r="AL532" i="5"/>
  <c r="AK532" i="5"/>
  <c r="AK407" i="5"/>
  <c r="AL407" i="5"/>
  <c r="AK387" i="5"/>
  <c r="AL387" i="5"/>
  <c r="AK525" i="5"/>
  <c r="AL525" i="5"/>
  <c r="AL299" i="5"/>
  <c r="AK299" i="5"/>
  <c r="AK83" i="5"/>
  <c r="AL83" i="5"/>
  <c r="AK45" i="5"/>
  <c r="AL45" i="5"/>
  <c r="AL100" i="5"/>
  <c r="AK100" i="5"/>
  <c r="AL130" i="5"/>
  <c r="AK130" i="5"/>
  <c r="AK132" i="5"/>
  <c r="AL132" i="5"/>
  <c r="AK136" i="5"/>
  <c r="AL136" i="5"/>
  <c r="AK366" i="5"/>
  <c r="AL366" i="5"/>
  <c r="AK506" i="5"/>
  <c r="AL506" i="5"/>
  <c r="AK348" i="5"/>
  <c r="AL348" i="5"/>
  <c r="AK450" i="5"/>
  <c r="AL450" i="5"/>
  <c r="AK263" i="5"/>
  <c r="AL263" i="5"/>
  <c r="AL500" i="5"/>
  <c r="AK500" i="5"/>
  <c r="AK437" i="5"/>
  <c r="AL437" i="5"/>
  <c r="AL520" i="5"/>
  <c r="AK520" i="5"/>
  <c r="AL393" i="5"/>
  <c r="AK393" i="5"/>
  <c r="AL373" i="5"/>
  <c r="AK373" i="5"/>
  <c r="AK513" i="5"/>
  <c r="AL513" i="5"/>
  <c r="AL283" i="5"/>
  <c r="AK283" i="5"/>
  <c r="AK36" i="5"/>
  <c r="AL36" i="5"/>
  <c r="AK161" i="5"/>
  <c r="AL161" i="5"/>
  <c r="AL144" i="5"/>
  <c r="AK144" i="5"/>
  <c r="AL508" i="5"/>
  <c r="AK508" i="5"/>
  <c r="AK447" i="5"/>
  <c r="AL447" i="5"/>
  <c r="AK378" i="5"/>
  <c r="AL378" i="5"/>
  <c r="AK429" i="5"/>
  <c r="AL429" i="5"/>
  <c r="AL361" i="5"/>
  <c r="AK361" i="5"/>
  <c r="AK288" i="5"/>
  <c r="AL288" i="5"/>
  <c r="AL555" i="5"/>
  <c r="AK555" i="5"/>
  <c r="AK507" i="5"/>
  <c r="AL507" i="5"/>
  <c r="AK394" i="5"/>
  <c r="AL394" i="5"/>
  <c r="AK335" i="5"/>
  <c r="AL335" i="5"/>
  <c r="AK179" i="5"/>
  <c r="AL179" i="5"/>
  <c r="AK273" i="5"/>
  <c r="AL273" i="5"/>
  <c r="AK225" i="5"/>
  <c r="AL225" i="5"/>
  <c r="AK242" i="5"/>
  <c r="AL242" i="5"/>
  <c r="AK182" i="5"/>
  <c r="AL182" i="5"/>
  <c r="AL315" i="5"/>
  <c r="AK315" i="5"/>
  <c r="AK251" i="5"/>
  <c r="AL251" i="5"/>
  <c r="AK181" i="5"/>
  <c r="AL181" i="5"/>
  <c r="AK117" i="5"/>
  <c r="AL117" i="5"/>
  <c r="AK91" i="5"/>
  <c r="AL91" i="5"/>
  <c r="AK230" i="5"/>
  <c r="AL230" i="5"/>
  <c r="AK533" i="5"/>
  <c r="AL533" i="5"/>
  <c r="AL480" i="5"/>
  <c r="AK480" i="5"/>
  <c r="AL375" i="5"/>
  <c r="AK375" i="5"/>
  <c r="AL309" i="5"/>
  <c r="AK309" i="5"/>
  <c r="AL312" i="5"/>
  <c r="AK312" i="5"/>
  <c r="AL254" i="5"/>
  <c r="AK254" i="5"/>
  <c r="AK200" i="5"/>
  <c r="AL200" i="5"/>
  <c r="AK222" i="5"/>
  <c r="AL222" i="5"/>
  <c r="AK115" i="5"/>
  <c r="AL115" i="5"/>
  <c r="AK291" i="5"/>
  <c r="AL291" i="5"/>
  <c r="AL223" i="5"/>
  <c r="AK223" i="5"/>
  <c r="AK180" i="5"/>
  <c r="AL180" i="5"/>
  <c r="AK66" i="5"/>
  <c r="AL66" i="5"/>
  <c r="AL376" i="5"/>
  <c r="AK376" i="5"/>
  <c r="AL540" i="5"/>
  <c r="AK540" i="5"/>
  <c r="AL483" i="5"/>
  <c r="AK483" i="5"/>
  <c r="AK419" i="5"/>
  <c r="AL419" i="5"/>
  <c r="AL271" i="5"/>
  <c r="AK271" i="5"/>
  <c r="AK401" i="5"/>
  <c r="AL401" i="5"/>
  <c r="AL333" i="5"/>
  <c r="AK333" i="5"/>
  <c r="AK221" i="5"/>
  <c r="AL221" i="5"/>
  <c r="AK529" i="5"/>
  <c r="AL529" i="5"/>
  <c r="AL478" i="5"/>
  <c r="AK478" i="5"/>
  <c r="AK371" i="5"/>
  <c r="AL371" i="5"/>
  <c r="AK296" i="5"/>
  <c r="AL296" i="5"/>
  <c r="AL308" i="5"/>
  <c r="AK308" i="5"/>
  <c r="AL252" i="5"/>
  <c r="AK252" i="5"/>
  <c r="AK193" i="5"/>
  <c r="AL193" i="5"/>
  <c r="AK218" i="5"/>
  <c r="AL218" i="5"/>
  <c r="AK107" i="5"/>
  <c r="AL107" i="5"/>
  <c r="AL286" i="5"/>
  <c r="AK286" i="5"/>
  <c r="AL219" i="5"/>
  <c r="AK219" i="5"/>
  <c r="AL176" i="5"/>
  <c r="AK176" i="5"/>
  <c r="AL64" i="5"/>
  <c r="AK64" i="5"/>
  <c r="B47" i="2"/>
  <c r="H20" i="1"/>
  <c r="G21" i="1"/>
  <c r="I23" i="1"/>
  <c r="I22" i="1"/>
  <c r="K25" i="2"/>
  <c r="BE7" i="5"/>
  <c r="BE198" i="5" l="1"/>
  <c r="BB12" i="5"/>
  <c r="BC12" i="5"/>
  <c r="BE53" i="5"/>
  <c r="BD78" i="5"/>
  <c r="BD222" i="5"/>
  <c r="BE462" i="5"/>
  <c r="BD214" i="5"/>
  <c r="BD264" i="5"/>
  <c r="BD560" i="5"/>
  <c r="BE22" i="5"/>
  <c r="BE144" i="5"/>
  <c r="BE219" i="5"/>
  <c r="BE45" i="5"/>
  <c r="BE316" i="5"/>
  <c r="BE83" i="5"/>
  <c r="BD269" i="5"/>
  <c r="BD180" i="5"/>
  <c r="BE38" i="5"/>
  <c r="BE51" i="5"/>
  <c r="BE537" i="5"/>
  <c r="BD130" i="5"/>
  <c r="BD164" i="5"/>
  <c r="BD315" i="5"/>
  <c r="BD305" i="5"/>
  <c r="BD262" i="5"/>
  <c r="BE299" i="5"/>
  <c r="BE27" i="5"/>
  <c r="BD64" i="5"/>
  <c r="BE44" i="5"/>
  <c r="BE283" i="5"/>
  <c r="BD112" i="5"/>
  <c r="BD223" i="5"/>
  <c r="BE41" i="5"/>
  <c r="BD191" i="5"/>
  <c r="BE296" i="5"/>
  <c r="BE8" i="5"/>
  <c r="BD352" i="5"/>
  <c r="BE230" i="5"/>
  <c r="BE156" i="5"/>
  <c r="BD156" i="5"/>
  <c r="BE208" i="5"/>
  <c r="BD208" i="5"/>
  <c r="BE103" i="5"/>
  <c r="BE246" i="5"/>
  <c r="BE533" i="5"/>
  <c r="BD263" i="5"/>
  <c r="BE68" i="5"/>
  <c r="BD68" i="5"/>
  <c r="BE476" i="5"/>
  <c r="BD476" i="5"/>
  <c r="BE81" i="5"/>
  <c r="BD81" i="5"/>
  <c r="BE31" i="5"/>
  <c r="BD31" i="5"/>
  <c r="BE290" i="5"/>
  <c r="BD290" i="5"/>
  <c r="BD295" i="5"/>
  <c r="BE295" i="5"/>
  <c r="BD346" i="5"/>
  <c r="BE346" i="5"/>
  <c r="BE235" i="5"/>
  <c r="BD235" i="5"/>
  <c r="BD284" i="5"/>
  <c r="BE284" i="5"/>
  <c r="BE559" i="5"/>
  <c r="BD559" i="5"/>
  <c r="BD183" i="5"/>
  <c r="BE183" i="5"/>
  <c r="BD159" i="5"/>
  <c r="BE159" i="5"/>
  <c r="BE119" i="5"/>
  <c r="BD158" i="5"/>
  <c r="BE453" i="5"/>
  <c r="BD66" i="5"/>
  <c r="BD369" i="5"/>
  <c r="BE306" i="5"/>
  <c r="BE236" i="5"/>
  <c r="BD470" i="5"/>
  <c r="BD387" i="5"/>
  <c r="BE387" i="5"/>
  <c r="BD487" i="5"/>
  <c r="BE487" i="5"/>
  <c r="BD209" i="5"/>
  <c r="BE209" i="5"/>
  <c r="BE298" i="5"/>
  <c r="BD298" i="5"/>
  <c r="BD437" i="5"/>
  <c r="BE437" i="5"/>
  <c r="BD213" i="5"/>
  <c r="BE213" i="5"/>
  <c r="BD206" i="5"/>
  <c r="BE206" i="5"/>
  <c r="BE211" i="5"/>
  <c r="BD211" i="5"/>
  <c r="BD152" i="5"/>
  <c r="BE152" i="5"/>
  <c r="BE225" i="5"/>
  <c r="BD225" i="5"/>
  <c r="BD101" i="5"/>
  <c r="BE101" i="5"/>
  <c r="BE273" i="5"/>
  <c r="BD273" i="5"/>
  <c r="BD360" i="5"/>
  <c r="BE360" i="5"/>
  <c r="BE92" i="5"/>
  <c r="BD92" i="5"/>
  <c r="BE52" i="5"/>
  <c r="BD52" i="5"/>
  <c r="BE189" i="5"/>
  <c r="BD189" i="5"/>
  <c r="BE30" i="5"/>
  <c r="BD30" i="5"/>
  <c r="BD24" i="5"/>
  <c r="BE24" i="5"/>
  <c r="BD39" i="5"/>
  <c r="BE39" i="5"/>
  <c r="BE268" i="5"/>
  <c r="BD268" i="5"/>
  <c r="BD60" i="5"/>
  <c r="BE60" i="5"/>
  <c r="BE241" i="5"/>
  <c r="BD241" i="5"/>
  <c r="BD169" i="5"/>
  <c r="BE169" i="5"/>
  <c r="BE131" i="5"/>
  <c r="BD131" i="5"/>
  <c r="BD238" i="5"/>
  <c r="BE238" i="5"/>
  <c r="BD116" i="5"/>
  <c r="BE116" i="5"/>
  <c r="BE227" i="5"/>
  <c r="BD227" i="5"/>
  <c r="BE313" i="5"/>
  <c r="BD313" i="5"/>
  <c r="BD172" i="5"/>
  <c r="BE172" i="5"/>
  <c r="BE324" i="5"/>
  <c r="BD324" i="5"/>
  <c r="BD148" i="5"/>
  <c r="BE148" i="5"/>
  <c r="BD178" i="5"/>
  <c r="BE178" i="5"/>
  <c r="BE29" i="5"/>
  <c r="BD29" i="5"/>
  <c r="BD109" i="5"/>
  <c r="BE109" i="5"/>
  <c r="BE240" i="5"/>
  <c r="BD240" i="5"/>
  <c r="BD26" i="5"/>
  <c r="BE26" i="5"/>
  <c r="BE351" i="5"/>
  <c r="BD351" i="5"/>
  <c r="BD132" i="5"/>
  <c r="BE132" i="5"/>
  <c r="BE150" i="5"/>
  <c r="BD150" i="5"/>
  <c r="BD424" i="5"/>
  <c r="BE424" i="5"/>
  <c r="BD147" i="5"/>
  <c r="BE147" i="5"/>
  <c r="BE117" i="5"/>
  <c r="BD117" i="5"/>
  <c r="BD139" i="5"/>
  <c r="BE139" i="5"/>
  <c r="BE401" i="5"/>
  <c r="BD401" i="5"/>
  <c r="BE190" i="5"/>
  <c r="BD190" i="5"/>
  <c r="BD363" i="5"/>
  <c r="BE363" i="5"/>
  <c r="BE255" i="5"/>
  <c r="BD255" i="5"/>
  <c r="BE332" i="5"/>
  <c r="BD332" i="5"/>
  <c r="BD19" i="5"/>
  <c r="BE19" i="5"/>
  <c r="BD276" i="5"/>
  <c r="BE276" i="5"/>
  <c r="BD546" i="5"/>
  <c r="BE546" i="5"/>
  <c r="BE73" i="5"/>
  <c r="BD73" i="5"/>
  <c r="BD251" i="5"/>
  <c r="BE251" i="5"/>
  <c r="BD450" i="5"/>
  <c r="BE450" i="5"/>
  <c r="BD553" i="5"/>
  <c r="BE553" i="5"/>
  <c r="BE309" i="5"/>
  <c r="BD309" i="5"/>
  <c r="BE545" i="5"/>
  <c r="BD545" i="5"/>
  <c r="BE465" i="5"/>
  <c r="BD465" i="5"/>
  <c r="BD288" i="5"/>
  <c r="BE288" i="5"/>
  <c r="BE232" i="5"/>
  <c r="BD232" i="5"/>
  <c r="BD137" i="5"/>
  <c r="BE137" i="5"/>
  <c r="BE76" i="5"/>
  <c r="BD76" i="5"/>
  <c r="BD274" i="5"/>
  <c r="BE274" i="5"/>
  <c r="BD105" i="5"/>
  <c r="BE105" i="5"/>
  <c r="BE326" i="5"/>
  <c r="BD326" i="5"/>
  <c r="BE121" i="5"/>
  <c r="BD121" i="5"/>
  <c r="BE201" i="5"/>
  <c r="BD201" i="5"/>
  <c r="BD111" i="5"/>
  <c r="BE111" i="5"/>
  <c r="BE110" i="5"/>
  <c r="BD110" i="5"/>
  <c r="BE184" i="5"/>
  <c r="BD184" i="5"/>
  <c r="BE157" i="5"/>
  <c r="BD157" i="5"/>
  <c r="BE202" i="5"/>
  <c r="BD202" i="5"/>
  <c r="BE199" i="5"/>
  <c r="BD199" i="5"/>
  <c r="BD154" i="5"/>
  <c r="BE154" i="5"/>
  <c r="BE243" i="5"/>
  <c r="BD243" i="5"/>
  <c r="BE317" i="5"/>
  <c r="BD317" i="5"/>
  <c r="BD126" i="5"/>
  <c r="BE126" i="5"/>
  <c r="BD412" i="5"/>
  <c r="BE412" i="5"/>
  <c r="BD289" i="5"/>
  <c r="BE289" i="5"/>
  <c r="BD136" i="5"/>
  <c r="BE136" i="5"/>
  <c r="BE411" i="5"/>
  <c r="BD411" i="5"/>
  <c r="BD160" i="5"/>
  <c r="BE160" i="5"/>
  <c r="BD279" i="5"/>
  <c r="BE279" i="5"/>
  <c r="BE194" i="5"/>
  <c r="BD194" i="5"/>
  <c r="BD212" i="5"/>
  <c r="BE212" i="5"/>
  <c r="BE91" i="5"/>
  <c r="BD91" i="5"/>
  <c r="BD414" i="5"/>
  <c r="BE414" i="5"/>
  <c r="BD501" i="5"/>
  <c r="BE501" i="5"/>
  <c r="BD477" i="5"/>
  <c r="BE477" i="5"/>
  <c r="BD432" i="5"/>
  <c r="BE432" i="5"/>
  <c r="BD108" i="5"/>
  <c r="BE108" i="5"/>
  <c r="BD89" i="5"/>
  <c r="BE89" i="5"/>
  <c r="BE314" i="5"/>
  <c r="BD314" i="5"/>
  <c r="BE74" i="5"/>
  <c r="BD74" i="5"/>
  <c r="BE323" i="5"/>
  <c r="BD323" i="5"/>
  <c r="BD32" i="5"/>
  <c r="BE32" i="5"/>
  <c r="BE134" i="5"/>
  <c r="BD134" i="5"/>
  <c r="BE261" i="5"/>
  <c r="BD261" i="5"/>
  <c r="BD532" i="5"/>
  <c r="BE532" i="5"/>
  <c r="BE478" i="5"/>
  <c r="BD478" i="5"/>
  <c r="BD392" i="5"/>
  <c r="BE392" i="5"/>
  <c r="BD242" i="5"/>
  <c r="BE242" i="5"/>
  <c r="BD226" i="5"/>
  <c r="BE226" i="5"/>
  <c r="BD285" i="5"/>
  <c r="BE285" i="5"/>
  <c r="BD491" i="5"/>
  <c r="BE491" i="5"/>
  <c r="BD249" i="5"/>
  <c r="BE249" i="5"/>
  <c r="BD69" i="5"/>
  <c r="BE69" i="5"/>
  <c r="BE174" i="5"/>
  <c r="BD174" i="5"/>
  <c r="BE171" i="5"/>
  <c r="BD171" i="5"/>
  <c r="BE125" i="5"/>
  <c r="BD125" i="5"/>
  <c r="BD118" i="5"/>
  <c r="BE118" i="5"/>
  <c r="BD88" i="5"/>
  <c r="BE88" i="5"/>
  <c r="BD40" i="5"/>
  <c r="BE40" i="5"/>
  <c r="BD247" i="5"/>
  <c r="BE247" i="5"/>
  <c r="BD56" i="5"/>
  <c r="BE56" i="5"/>
  <c r="BD47" i="5"/>
  <c r="BE47" i="5"/>
  <c r="BD85" i="5"/>
  <c r="BE85" i="5"/>
  <c r="BE302" i="5"/>
  <c r="BD302" i="5"/>
  <c r="BE265" i="5"/>
  <c r="BD265" i="5"/>
  <c r="BD161" i="5"/>
  <c r="BE161" i="5"/>
  <c r="BD185" i="5"/>
  <c r="BE185" i="5"/>
  <c r="BD221" i="5"/>
  <c r="BE163" i="5"/>
  <c r="BE234" i="5"/>
  <c r="BD115" i="5"/>
  <c r="BE122" i="5"/>
  <c r="BD166" i="5"/>
  <c r="BD84" i="5"/>
  <c r="BD23" i="5"/>
  <c r="BE536" i="5"/>
  <c r="BD543" i="5"/>
  <c r="BE469" i="5"/>
  <c r="BE481" i="5"/>
  <c r="BD329" i="5"/>
  <c r="BD138" i="5"/>
  <c r="BE138" i="5"/>
  <c r="BD140" i="5"/>
  <c r="BE140" i="5"/>
  <c r="BE245" i="5"/>
  <c r="BD145" i="5"/>
  <c r="BE145" i="5"/>
  <c r="BE149" i="5"/>
  <c r="BD149" i="5"/>
  <c r="BE75" i="5"/>
  <c r="BD97" i="5"/>
  <c r="BE43" i="5"/>
  <c r="BD71" i="5"/>
  <c r="BE338" i="5"/>
  <c r="BE168" i="5"/>
  <c r="BD210" i="5"/>
  <c r="BD72" i="5"/>
  <c r="BE72" i="5"/>
  <c r="BE393" i="5"/>
  <c r="BE113" i="5"/>
  <c r="BE65" i="5"/>
  <c r="BE356" i="5"/>
  <c r="BE521" i="5"/>
  <c r="BD555" i="5"/>
  <c r="BD80" i="5"/>
  <c r="BE80" i="5"/>
  <c r="BE197" i="5"/>
  <c r="BD197" i="5"/>
  <c r="BD495" i="5"/>
  <c r="BD175" i="5"/>
  <c r="BE141" i="5"/>
  <c r="BE278" i="5"/>
  <c r="BE34" i="5"/>
  <c r="BE337" i="5"/>
  <c r="BD549" i="5"/>
  <c r="BE70" i="5"/>
  <c r="BD21" i="5"/>
  <c r="BE379" i="5"/>
  <c r="BD379" i="5"/>
  <c r="BE61" i="5"/>
  <c r="BD344" i="5"/>
  <c r="BE286" i="5"/>
  <c r="BD286" i="5"/>
  <c r="BD300" i="5"/>
  <c r="BE90" i="5"/>
  <c r="BD90" i="5"/>
  <c r="BE440" i="5"/>
  <c r="BD440" i="5"/>
  <c r="BD231" i="5"/>
  <c r="BD188" i="5"/>
  <c r="BE303" i="5"/>
  <c r="BD303" i="5"/>
  <c r="BE244" i="5"/>
  <c r="BD244" i="5"/>
  <c r="BE193" i="5"/>
  <c r="BD193" i="5"/>
  <c r="BD229" i="5"/>
  <c r="BE229" i="5"/>
  <c r="BD405" i="5"/>
  <c r="BE405" i="5"/>
  <c r="BD275" i="5"/>
  <c r="BE275" i="5"/>
  <c r="BE294" i="5"/>
  <c r="BD294" i="5"/>
  <c r="BE182" i="5"/>
  <c r="BD182" i="5"/>
  <c r="BE365" i="5"/>
  <c r="BD365" i="5"/>
  <c r="BE445" i="5"/>
  <c r="BD445" i="5"/>
  <c r="BE515" i="5"/>
  <c r="BD515" i="5"/>
  <c r="BE448" i="5"/>
  <c r="BD448" i="5"/>
  <c r="BD106" i="5"/>
  <c r="BE106" i="5"/>
  <c r="BD282" i="5"/>
  <c r="BE282" i="5"/>
  <c r="BD239" i="5"/>
  <c r="BE239" i="5"/>
  <c r="BE505" i="5"/>
  <c r="BD505" i="5"/>
  <c r="BD396" i="5"/>
  <c r="BE396" i="5"/>
  <c r="BE407" i="5"/>
  <c r="BD407" i="5"/>
  <c r="BD547" i="5"/>
  <c r="BE547" i="5"/>
  <c r="BE94" i="5"/>
  <c r="BD46" i="5"/>
  <c r="BE46" i="5"/>
  <c r="BE162" i="5"/>
  <c r="BD162" i="5"/>
  <c r="BD167" i="5"/>
  <c r="BE167" i="5"/>
  <c r="BE277" i="5"/>
  <c r="BD277" i="5"/>
  <c r="BD340" i="5"/>
  <c r="BE340" i="5"/>
  <c r="BD409" i="5"/>
  <c r="BE409" i="5"/>
  <c r="BD496" i="5"/>
  <c r="BE496" i="5"/>
  <c r="BE475" i="5"/>
  <c r="BD475" i="5"/>
  <c r="BD362" i="5"/>
  <c r="BE362" i="5"/>
  <c r="BE410" i="5"/>
  <c r="BD410" i="5"/>
  <c r="BE361" i="5"/>
  <c r="BD361" i="5"/>
  <c r="BE433" i="5"/>
  <c r="BD433" i="5"/>
  <c r="BD473" i="5"/>
  <c r="BE473" i="5"/>
  <c r="BD517" i="5"/>
  <c r="BE517" i="5"/>
  <c r="BD493" i="5"/>
  <c r="BE493" i="5"/>
  <c r="BD339" i="5"/>
  <c r="BE339" i="5"/>
  <c r="BD280" i="5"/>
  <c r="BE280" i="5"/>
  <c r="BD124" i="5"/>
  <c r="BE124" i="5"/>
  <c r="BE461" i="5"/>
  <c r="BD461" i="5"/>
  <c r="BE358" i="5"/>
  <c r="BD358" i="5"/>
  <c r="BD457" i="5"/>
  <c r="BE457" i="5"/>
  <c r="BD348" i="5"/>
  <c r="BE348" i="5"/>
  <c r="BD256" i="5"/>
  <c r="BE256" i="5"/>
  <c r="BE503" i="5"/>
  <c r="BD503" i="5"/>
  <c r="BE58" i="5"/>
  <c r="BD58" i="5"/>
  <c r="BD187" i="5"/>
  <c r="BE187" i="5"/>
  <c r="BD20" i="5"/>
  <c r="BE20" i="5"/>
  <c r="BD416" i="5"/>
  <c r="BE416" i="5"/>
  <c r="BD57" i="5"/>
  <c r="BE57" i="5"/>
  <c r="BD355" i="5"/>
  <c r="BE355" i="5"/>
  <c r="BE62" i="5"/>
  <c r="BD62" i="5"/>
  <c r="BD128" i="5"/>
  <c r="BE128" i="5"/>
  <c r="BE376" i="5"/>
  <c r="BD376" i="5"/>
  <c r="BD527" i="5"/>
  <c r="BE527" i="5"/>
  <c r="BD431" i="5"/>
  <c r="BE431" i="5"/>
  <c r="BD439" i="5"/>
  <c r="BE439" i="5"/>
  <c r="BE492" i="5"/>
  <c r="BD492" i="5"/>
  <c r="BE541" i="5"/>
  <c r="BD541" i="5"/>
  <c r="BD447" i="5"/>
  <c r="BE447" i="5"/>
  <c r="BE28" i="5"/>
  <c r="BD28" i="5"/>
  <c r="BE181" i="5"/>
  <c r="BD181" i="5"/>
  <c r="BD95" i="5"/>
  <c r="BE95" i="5"/>
  <c r="BD120" i="5"/>
  <c r="BE120" i="5"/>
  <c r="BE413" i="5"/>
  <c r="BD413" i="5"/>
  <c r="V13" i="5"/>
  <c r="U13" i="5"/>
  <c r="BE96" i="5"/>
  <c r="BD96" i="5"/>
  <c r="BE331" i="5"/>
  <c r="BD331" i="5"/>
  <c r="BE377" i="5"/>
  <c r="BD377" i="5"/>
  <c r="BD186" i="5"/>
  <c r="BE186" i="5"/>
  <c r="BE293" i="5"/>
  <c r="BD293" i="5"/>
  <c r="BE406" i="5"/>
  <c r="BD406" i="5"/>
  <c r="BD415" i="5"/>
  <c r="BE415" i="5"/>
  <c r="BE402" i="5"/>
  <c r="BD402" i="5"/>
  <c r="BD420" i="5"/>
  <c r="BE420" i="5"/>
  <c r="BE449" i="5"/>
  <c r="BD449" i="5"/>
  <c r="BD464" i="5"/>
  <c r="BE464" i="5"/>
  <c r="BD531" i="5"/>
  <c r="BE531" i="5"/>
  <c r="BE529" i="5"/>
  <c r="BD529" i="5"/>
  <c r="BD176" i="5"/>
  <c r="BE176" i="5"/>
  <c r="BE253" i="5"/>
  <c r="BD253" i="5"/>
  <c r="BE370" i="5"/>
  <c r="BD370" i="5"/>
  <c r="BE389" i="5"/>
  <c r="BD389" i="5"/>
  <c r="BE417" i="5"/>
  <c r="BD417" i="5"/>
  <c r="BE514" i="5"/>
  <c r="BD514" i="5"/>
  <c r="BD530" i="5"/>
  <c r="BE530" i="5"/>
  <c r="BE364" i="5"/>
  <c r="BD364" i="5"/>
  <c r="BE107" i="5"/>
  <c r="BD107" i="5"/>
  <c r="BD271" i="5"/>
  <c r="BE271" i="5"/>
  <c r="BE104" i="5"/>
  <c r="BD104" i="5"/>
  <c r="BE165" i="5"/>
  <c r="BD165" i="5"/>
  <c r="BE291" i="5"/>
  <c r="BD291" i="5"/>
  <c r="BD544" i="5"/>
  <c r="BE544" i="5"/>
  <c r="BE451" i="5"/>
  <c r="BD451" i="5"/>
  <c r="BE472" i="5"/>
  <c r="BD472" i="5"/>
  <c r="BD155" i="5"/>
  <c r="BE155" i="5"/>
  <c r="BE67" i="5"/>
  <c r="BD67" i="5"/>
  <c r="BE423" i="5"/>
  <c r="BD423" i="5"/>
  <c r="BD539" i="5"/>
  <c r="BE539" i="5"/>
  <c r="BD436" i="5"/>
  <c r="BE436" i="5"/>
  <c r="BE397" i="5"/>
  <c r="BD397" i="5"/>
  <c r="BE467" i="5"/>
  <c r="BD467" i="5"/>
  <c r="BE347" i="5"/>
  <c r="BD347" i="5"/>
  <c r="BE330" i="5"/>
  <c r="BD330" i="5"/>
  <c r="BD304" i="5"/>
  <c r="BE304" i="5"/>
  <c r="BE153" i="5"/>
  <c r="BD153" i="5"/>
  <c r="BD500" i="5"/>
  <c r="BE500" i="5"/>
  <c r="BE391" i="5"/>
  <c r="BD391" i="5"/>
  <c r="BD554" i="5"/>
  <c r="BE554" i="5"/>
  <c r="BD502" i="5"/>
  <c r="BE502" i="5"/>
  <c r="BD33" i="5"/>
  <c r="BE33" i="5"/>
  <c r="BE403" i="5"/>
  <c r="BD403" i="5"/>
  <c r="BD318" i="5"/>
  <c r="BE318" i="5"/>
  <c r="BE372" i="5"/>
  <c r="BD372" i="5"/>
  <c r="BD322" i="5"/>
  <c r="BE322" i="5"/>
  <c r="BE129" i="5"/>
  <c r="BD129" i="5"/>
  <c r="BE312" i="5"/>
  <c r="BD312" i="5"/>
  <c r="BD480" i="5"/>
  <c r="BE480" i="5"/>
  <c r="BD205" i="5"/>
  <c r="BE205" i="5"/>
  <c r="BE224" i="5"/>
  <c r="BD224" i="5"/>
  <c r="BD333" i="5"/>
  <c r="BE333" i="5"/>
  <c r="BD37" i="5"/>
  <c r="BE37" i="5"/>
  <c r="BD408" i="5"/>
  <c r="BE408" i="5"/>
  <c r="BD320" i="5"/>
  <c r="BE320" i="5"/>
  <c r="BE343" i="5"/>
  <c r="BD343" i="5"/>
  <c r="BD425" i="5"/>
  <c r="BE425" i="5"/>
  <c r="BD516" i="5"/>
  <c r="BE516" i="5"/>
  <c r="BD520" i="5"/>
  <c r="BE520" i="5"/>
  <c r="BD368" i="5"/>
  <c r="BE368" i="5"/>
  <c r="BD367" i="5"/>
  <c r="BE367" i="5"/>
  <c r="BE435" i="5"/>
  <c r="BD435" i="5"/>
  <c r="BD486" i="5"/>
  <c r="BE486" i="5"/>
  <c r="BE386" i="5"/>
  <c r="BD386" i="5"/>
  <c r="BE468" i="5"/>
  <c r="BD468" i="5"/>
  <c r="BD135" i="5"/>
  <c r="BE135" i="5"/>
  <c r="BD525" i="5"/>
  <c r="BE525" i="5"/>
  <c r="BE228" i="5"/>
  <c r="BD228" i="5"/>
  <c r="BE327" i="5"/>
  <c r="BD327" i="5"/>
  <c r="BD77" i="5"/>
  <c r="BE77" i="5"/>
  <c r="BE349" i="5"/>
  <c r="BD349" i="5"/>
  <c r="BD383" i="5"/>
  <c r="BE383" i="5"/>
  <c r="BD354" i="5"/>
  <c r="BE354" i="5"/>
  <c r="BE490" i="5"/>
  <c r="BD490" i="5"/>
  <c r="BE400" i="5"/>
  <c r="BD400" i="5"/>
  <c r="BD373" i="5"/>
  <c r="BE373" i="5"/>
  <c r="BE99" i="5"/>
  <c r="BD99" i="5"/>
  <c r="BE328" i="5"/>
  <c r="BD328" i="5"/>
  <c r="BE345" i="5"/>
  <c r="BD345" i="5"/>
  <c r="BD203" i="5"/>
  <c r="BE203" i="5"/>
  <c r="BD359" i="5"/>
  <c r="BE359" i="5"/>
  <c r="BD63" i="5"/>
  <c r="BE63" i="5"/>
  <c r="BE419" i="5"/>
  <c r="BD419" i="5"/>
  <c r="BD215" i="5"/>
  <c r="BE215" i="5"/>
  <c r="BD394" i="5"/>
  <c r="BE394" i="5"/>
  <c r="BD418" i="5"/>
  <c r="BE418" i="5"/>
  <c r="BD442" i="5"/>
  <c r="BE442" i="5"/>
  <c r="BE504" i="5"/>
  <c r="BD504" i="5"/>
  <c r="BD381" i="5"/>
  <c r="BE381" i="5"/>
  <c r="BD428" i="5"/>
  <c r="BE428" i="5"/>
  <c r="BE484" i="5"/>
  <c r="BD484" i="5"/>
  <c r="BD452" i="5"/>
  <c r="BE452" i="5"/>
  <c r="BE429" i="5"/>
  <c r="BD429" i="5"/>
  <c r="BE459" i="5"/>
  <c r="BD459" i="5"/>
  <c r="BE388" i="5"/>
  <c r="BD388" i="5"/>
  <c r="BD266" i="5"/>
  <c r="BE266" i="5"/>
  <c r="BD207" i="5"/>
  <c r="BE207" i="5"/>
  <c r="BE319" i="5"/>
  <c r="BD319" i="5"/>
  <c r="BE390" i="5"/>
  <c r="BD390" i="5"/>
  <c r="BD556" i="5"/>
  <c r="BE556" i="5"/>
  <c r="BD218" i="5"/>
  <c r="BE218" i="5"/>
  <c r="AX13" i="5"/>
  <c r="AY13" i="5"/>
  <c r="BE143" i="5"/>
  <c r="BD143" i="5"/>
  <c r="BE146" i="5"/>
  <c r="BD146" i="5"/>
  <c r="BE307" i="5"/>
  <c r="BD307" i="5"/>
  <c r="BD494" i="5"/>
  <c r="BE494" i="5"/>
  <c r="BD538" i="5"/>
  <c r="BE538" i="5"/>
  <c r="BE444" i="5"/>
  <c r="BD444" i="5"/>
  <c r="BE499" i="5"/>
  <c r="BD499" i="5"/>
  <c r="BE342" i="5"/>
  <c r="BD342" i="5"/>
  <c r="BD506" i="5"/>
  <c r="BE506" i="5"/>
  <c r="BD548" i="5"/>
  <c r="BE548" i="5"/>
  <c r="BE456" i="5"/>
  <c r="BD456" i="5"/>
  <c r="BD471" i="5"/>
  <c r="BE471" i="5"/>
  <c r="BD421" i="5"/>
  <c r="BE421" i="5"/>
  <c r="BE297" i="5"/>
  <c r="BD297" i="5"/>
  <c r="BD260" i="5"/>
  <c r="BE260" i="5"/>
  <c r="BE142" i="5"/>
  <c r="BD142" i="5"/>
  <c r="BD512" i="5"/>
  <c r="BE512" i="5"/>
  <c r="BD558" i="5"/>
  <c r="BE558" i="5"/>
  <c r="BE511" i="5"/>
  <c r="BD511" i="5"/>
  <c r="BD200" i="5"/>
  <c r="BE200" i="5"/>
  <c r="BD334" i="5"/>
  <c r="BE334" i="5"/>
  <c r="BD466" i="5"/>
  <c r="BE466" i="5"/>
  <c r="BD522" i="5"/>
  <c r="BE522" i="5"/>
  <c r="BE524" i="5"/>
  <c r="BD524" i="5"/>
  <c r="BD509" i="5"/>
  <c r="BE509" i="5"/>
  <c r="BE485" i="5"/>
  <c r="BD485" i="5"/>
  <c r="BE220" i="5"/>
  <c r="BD220" i="5"/>
  <c r="BD341" i="5"/>
  <c r="BE341" i="5"/>
  <c r="BD321" i="5"/>
  <c r="BE321" i="5"/>
  <c r="BD385" i="5"/>
  <c r="BE385" i="5"/>
  <c r="BD488" i="5"/>
  <c r="BE488" i="5"/>
  <c r="BD398" i="5"/>
  <c r="BE398" i="5"/>
  <c r="BD430" i="5"/>
  <c r="BE430" i="5"/>
  <c r="BD93" i="5"/>
  <c r="BE93" i="5"/>
  <c r="BD519" i="5"/>
  <c r="BE519" i="5"/>
  <c r="BE474" i="5"/>
  <c r="BD474" i="5"/>
  <c r="BE310" i="5"/>
  <c r="BD310" i="5"/>
  <c r="BE357" i="5"/>
  <c r="BD357" i="5"/>
  <c r="AU13" i="5"/>
  <c r="AV13" i="5"/>
  <c r="BC13" i="5"/>
  <c r="BE434" i="5"/>
  <c r="BD434" i="5"/>
  <c r="BE250" i="5"/>
  <c r="BD250" i="5"/>
  <c r="BD336" i="5"/>
  <c r="BE336" i="5"/>
  <c r="BD460" i="5"/>
  <c r="BE460" i="5"/>
  <c r="BE557" i="5"/>
  <c r="BD557" i="5"/>
  <c r="BD542" i="5"/>
  <c r="BE542" i="5"/>
  <c r="BD384" i="5"/>
  <c r="BE384" i="5"/>
  <c r="BE267" i="5"/>
  <c r="BD267" i="5"/>
  <c r="BD179" i="5"/>
  <c r="BE179" i="5"/>
  <c r="BE272" i="5"/>
  <c r="BD272" i="5"/>
  <c r="BE123" i="5"/>
  <c r="BD123" i="5"/>
  <c r="BD87" i="5"/>
  <c r="BE87" i="5"/>
  <c r="BD50" i="5"/>
  <c r="BE50" i="5"/>
  <c r="BE252" i="5"/>
  <c r="BD252" i="5"/>
  <c r="BE311" i="5"/>
  <c r="BD311" i="5"/>
  <c r="BE380" i="5"/>
  <c r="BD380" i="5"/>
  <c r="BD254" i="5"/>
  <c r="BE254" i="5"/>
  <c r="BE399" i="5"/>
  <c r="BD399" i="5"/>
  <c r="BD49" i="5"/>
  <c r="BE49" i="5"/>
  <c r="BE192" i="5"/>
  <c r="BD192" i="5"/>
  <c r="BE350" i="5"/>
  <c r="BD350" i="5"/>
  <c r="BE42" i="5"/>
  <c r="BD42" i="5"/>
  <c r="BE257" i="5"/>
  <c r="BD257" i="5"/>
  <c r="BE366" i="5"/>
  <c r="BD366" i="5"/>
  <c r="BD518" i="5"/>
  <c r="BE518" i="5"/>
  <c r="BE374" i="5"/>
  <c r="BD374" i="5"/>
  <c r="BE378" i="5"/>
  <c r="BD378" i="5"/>
  <c r="BD479" i="5"/>
  <c r="BE479" i="5"/>
  <c r="BE528" i="5"/>
  <c r="BD528" i="5"/>
  <c r="BE498" i="5"/>
  <c r="BD498" i="5"/>
  <c r="BD259" i="5"/>
  <c r="BE259" i="5"/>
  <c r="BE463" i="5"/>
  <c r="BD463" i="5"/>
  <c r="BE510" i="5"/>
  <c r="BD510" i="5"/>
  <c r="BD301" i="5"/>
  <c r="BE301" i="5"/>
  <c r="BE25" i="5"/>
  <c r="BD25" i="5"/>
  <c r="BD325" i="5"/>
  <c r="BE325" i="5"/>
  <c r="BE483" i="5"/>
  <c r="BD483" i="5"/>
  <c r="BE455" i="5"/>
  <c r="BD455" i="5"/>
  <c r="BD196" i="5"/>
  <c r="BE196" i="5"/>
  <c r="BE177" i="5"/>
  <c r="BD177" i="5"/>
  <c r="BE36" i="5"/>
  <c r="BD36" i="5"/>
  <c r="BE102" i="5"/>
  <c r="BD102" i="5"/>
  <c r="BD270" i="5"/>
  <c r="BE270" i="5"/>
  <c r="BD353" i="5"/>
  <c r="BE353" i="5"/>
  <c r="BD204" i="5"/>
  <c r="BE204" i="5"/>
  <c r="BE292" i="5"/>
  <c r="BD292" i="5"/>
  <c r="BD426" i="5"/>
  <c r="BE426" i="5"/>
  <c r="BE482" i="5"/>
  <c r="BD482" i="5"/>
  <c r="BD335" i="5"/>
  <c r="BE335" i="5"/>
  <c r="BD535" i="5"/>
  <c r="BE535" i="5"/>
  <c r="BD395" i="5"/>
  <c r="BE395" i="5"/>
  <c r="BE382" i="5"/>
  <c r="BD382" i="5"/>
  <c r="BE489" i="5"/>
  <c r="BD489" i="5"/>
  <c r="BD534" i="5"/>
  <c r="BE534" i="5"/>
  <c r="BD526" i="5"/>
  <c r="BE526" i="5"/>
  <c r="BD375" i="5"/>
  <c r="BE375" i="5"/>
  <c r="BE173" i="5"/>
  <c r="BD173" i="5"/>
  <c r="BD258" i="5"/>
  <c r="BE258" i="5"/>
  <c r="BE248" i="5"/>
  <c r="BD248" i="5"/>
  <c r="BE508" i="5"/>
  <c r="BD508" i="5"/>
  <c r="BD552" i="5"/>
  <c r="BE552" i="5"/>
  <c r="BD507" i="5"/>
  <c r="BE507" i="5"/>
  <c r="BD422" i="5"/>
  <c r="BE422" i="5"/>
  <c r="BD513" i="5"/>
  <c r="BE513" i="5"/>
  <c r="BE281" i="5"/>
  <c r="BD281" i="5"/>
  <c r="BE54" i="5"/>
  <c r="BD54" i="5"/>
  <c r="BD170" i="5"/>
  <c r="BE170" i="5"/>
  <c r="BD233" i="5"/>
  <c r="BE233" i="5"/>
  <c r="BA13" i="5"/>
  <c r="BB13" i="5"/>
  <c r="BD217" i="5"/>
  <c r="BE217" i="5"/>
  <c r="BD371" i="5"/>
  <c r="BE371" i="5"/>
  <c r="BD79" i="5"/>
  <c r="BE79" i="5"/>
  <c r="BE308" i="5"/>
  <c r="BD308" i="5"/>
  <c r="BE441" i="5"/>
  <c r="BD441" i="5"/>
  <c r="BE458" i="5"/>
  <c r="BD458" i="5"/>
  <c r="BD551" i="5"/>
  <c r="BE551" i="5"/>
  <c r="BD443" i="5"/>
  <c r="BE443" i="5"/>
  <c r="BE540" i="5"/>
  <c r="BD540" i="5"/>
  <c r="BD446" i="5"/>
  <c r="BE446" i="5"/>
  <c r="BD550" i="5"/>
  <c r="BE550" i="5"/>
  <c r="BD404" i="5"/>
  <c r="BE404" i="5"/>
  <c r="BD523" i="5"/>
  <c r="BE523" i="5"/>
  <c r="BE427" i="5"/>
  <c r="BD427" i="5"/>
  <c r="BD216" i="5"/>
  <c r="BE216" i="5"/>
  <c r="BE151" i="5"/>
  <c r="BD151" i="5"/>
  <c r="BD497" i="5"/>
  <c r="BE497" i="5"/>
  <c r="BD454" i="5"/>
  <c r="BE454" i="5"/>
  <c r="BD438" i="5"/>
  <c r="BE438" i="5"/>
  <c r="BE12" i="5"/>
  <c r="BD12" i="5"/>
  <c r="B49" i="5"/>
  <c r="B52" i="5" s="1"/>
  <c r="B35" i="5"/>
  <c r="B155" i="2"/>
  <c r="B174" i="2"/>
  <c r="B177" i="2" s="1"/>
  <c r="Z7" i="5" s="1"/>
  <c r="B71" i="5"/>
  <c r="B93" i="2"/>
  <c r="O15" i="4"/>
  <c r="B23" i="5"/>
  <c r="B154" i="2"/>
  <c r="B34" i="5"/>
  <c r="J50" i="5"/>
  <c r="B195" i="2"/>
  <c r="BD13" i="5" l="1"/>
  <c r="BE13" i="5"/>
  <c r="Z350" i="5"/>
  <c r="Z375" i="5"/>
  <c r="Z252" i="5"/>
  <c r="Z353" i="5"/>
  <c r="Z459" i="5"/>
  <c r="Z80" i="5"/>
  <c r="Z308" i="5"/>
  <c r="Z452" i="5"/>
  <c r="Z528" i="5"/>
  <c r="Z246" i="5"/>
  <c r="Z455" i="5"/>
  <c r="Z343" i="5"/>
  <c r="Z211" i="5"/>
  <c r="Z337" i="5"/>
  <c r="Z203" i="5"/>
  <c r="Z406" i="5"/>
  <c r="Z379" i="5"/>
  <c r="Z378" i="5"/>
  <c r="Z511" i="5"/>
  <c r="Z512" i="5"/>
  <c r="Z417" i="5"/>
  <c r="Z34" i="5"/>
  <c r="Z148" i="5"/>
  <c r="Z539" i="5"/>
  <c r="Z554" i="5"/>
  <c r="Z107" i="5"/>
  <c r="Z525" i="5"/>
  <c r="Z170" i="5"/>
  <c r="Z233" i="5"/>
  <c r="Z288" i="5"/>
  <c r="Z199" i="5"/>
  <c r="Z260" i="5"/>
  <c r="Z509" i="5"/>
  <c r="Z510" i="5"/>
  <c r="Z206" i="5"/>
  <c r="Z244" i="5"/>
  <c r="Z376" i="5"/>
  <c r="Z348" i="5"/>
  <c r="Z393" i="5"/>
  <c r="Z31" i="5"/>
  <c r="Z78" i="5"/>
  <c r="Z98" i="5"/>
  <c r="Z467" i="5"/>
  <c r="Z501" i="5"/>
  <c r="Z181" i="5"/>
  <c r="Z435" i="5"/>
  <c r="Z33" i="5"/>
  <c r="Z175" i="5"/>
  <c r="Z259" i="5"/>
  <c r="Z182" i="5"/>
  <c r="Z122" i="5"/>
  <c r="Z405" i="5"/>
  <c r="Z57" i="5"/>
  <c r="Z202" i="5"/>
  <c r="Z87" i="5"/>
  <c r="Z91" i="5"/>
  <c r="Z62" i="5"/>
  <c r="Z543" i="5"/>
  <c r="Z39" i="5"/>
  <c r="Z529" i="5"/>
  <c r="Z490" i="5"/>
  <c r="Z542" i="5"/>
  <c r="Z139" i="5"/>
  <c r="Z401" i="5"/>
  <c r="Z432" i="5"/>
  <c r="Z196" i="5"/>
  <c r="Z515" i="5"/>
  <c r="Z45" i="5"/>
  <c r="Z530" i="5"/>
  <c r="Z431" i="5"/>
  <c r="Z347" i="5"/>
  <c r="Z149" i="5"/>
  <c r="Z278" i="5"/>
  <c r="Z352" i="5"/>
  <c r="Z446" i="5"/>
  <c r="Z264" i="5"/>
  <c r="Z342" i="5"/>
  <c r="Z119" i="5"/>
  <c r="Z229" i="5"/>
  <c r="Z410" i="5"/>
  <c r="Z223" i="5"/>
  <c r="Z13" i="5"/>
  <c r="Z324" i="5"/>
  <c r="Z274" i="5"/>
  <c r="Z88" i="5"/>
  <c r="Z409" i="5"/>
  <c r="Z269" i="5"/>
  <c r="Z460" i="5"/>
  <c r="Z363" i="5"/>
  <c r="Z63" i="5"/>
  <c r="Z422" i="5"/>
  <c r="Z82" i="5"/>
  <c r="Z346" i="5"/>
  <c r="Z414" i="5"/>
  <c r="Z50" i="5"/>
  <c r="Z239" i="5"/>
  <c r="Z486" i="5"/>
  <c r="Z449" i="5"/>
  <c r="Z141" i="5"/>
  <c r="Z257" i="5"/>
  <c r="Z192" i="5"/>
  <c r="Z65" i="5"/>
  <c r="Z332" i="5"/>
  <c r="Z20" i="5"/>
  <c r="Z447" i="5"/>
  <c r="Z222" i="5"/>
  <c r="Z368" i="5"/>
  <c r="Z71" i="5"/>
  <c r="Z549" i="5"/>
  <c r="Z450" i="5"/>
  <c r="Z262" i="5"/>
  <c r="Z232" i="5"/>
  <c r="Z335" i="5"/>
  <c r="Z408" i="5"/>
  <c r="Z152" i="5"/>
  <c r="Z197" i="5"/>
  <c r="Z402" i="5"/>
  <c r="Z169" i="5"/>
  <c r="Z412" i="5"/>
  <c r="Z492" i="5"/>
  <c r="Z299" i="5"/>
  <c r="Z84" i="5"/>
  <c r="Z306" i="5"/>
  <c r="Z331" i="5"/>
  <c r="Z205" i="5"/>
  <c r="Z320" i="5"/>
  <c r="Z275" i="5"/>
  <c r="Z51" i="5"/>
  <c r="Z488" i="5"/>
  <c r="Z317" i="5"/>
  <c r="Z399" i="5"/>
  <c r="Z377" i="5"/>
  <c r="Z241" i="5"/>
  <c r="Z483" i="5"/>
  <c r="Z482" i="5"/>
  <c r="Z436" i="5"/>
  <c r="Z100" i="5"/>
  <c r="Z159" i="5"/>
  <c r="Z386" i="5"/>
  <c r="Z191" i="5"/>
  <c r="Z81" i="5"/>
  <c r="Z8" i="5"/>
  <c r="Z313" i="5"/>
  <c r="Z500" i="5"/>
  <c r="Z312" i="5"/>
  <c r="Z106" i="5"/>
  <c r="Z533" i="5"/>
  <c r="Z68" i="5"/>
  <c r="Z361" i="5"/>
  <c r="Z234" i="5"/>
  <c r="Z296" i="5"/>
  <c r="Z461" i="5"/>
  <c r="Z129" i="5"/>
  <c r="Z24" i="5"/>
  <c r="Z198" i="5"/>
  <c r="Z514" i="5"/>
  <c r="Z218" i="5"/>
  <c r="Z137" i="5"/>
  <c r="Z493" i="5"/>
  <c r="Z283" i="5"/>
  <c r="Z138" i="5"/>
  <c r="Z190" i="5"/>
  <c r="Z280" i="5"/>
  <c r="Z135" i="5"/>
  <c r="Z327" i="5"/>
  <c r="Z184" i="5"/>
  <c r="Z85" i="5"/>
  <c r="Z44" i="5"/>
  <c r="Z322" i="5"/>
  <c r="Z503" i="5"/>
  <c r="Z349" i="5"/>
  <c r="Z89" i="5"/>
  <c r="Z439" i="5"/>
  <c r="Z165" i="5"/>
  <c r="Z64" i="5"/>
  <c r="Z76" i="5"/>
  <c r="Z131" i="5"/>
  <c r="Z522" i="5"/>
  <c r="Z498" i="5"/>
  <c r="Z245" i="5"/>
  <c r="Z163" i="5"/>
  <c r="Z124" i="5"/>
  <c r="Z110" i="5"/>
  <c r="Z95" i="5"/>
  <c r="Z356" i="5"/>
  <c r="Z516" i="5"/>
  <c r="Z25" i="5"/>
  <c r="Z183" i="5"/>
  <c r="Z43" i="5"/>
  <c r="Z161" i="5"/>
  <c r="Z171" i="5"/>
  <c r="Z430" i="5"/>
  <c r="Z484" i="5"/>
  <c r="Z146" i="5"/>
  <c r="Z59" i="5"/>
  <c r="Z237" i="5"/>
  <c r="Z433" i="5"/>
  <c r="Z26" i="5"/>
  <c r="Z415" i="5"/>
  <c r="Z319" i="5"/>
  <c r="Z200" i="5"/>
  <c r="Z336" i="5"/>
  <c r="Z265" i="5"/>
  <c r="Z96" i="5"/>
  <c r="Z365" i="5"/>
  <c r="Z507" i="5"/>
  <c r="Z407" i="5"/>
  <c r="Z448" i="5"/>
  <c r="Z429" i="5"/>
  <c r="Z116" i="5"/>
  <c r="Z315" i="5"/>
  <c r="Z546" i="5"/>
  <c r="Z362" i="5"/>
  <c r="Z187" i="5"/>
  <c r="Z143" i="5"/>
  <c r="Z555" i="5"/>
  <c r="Z473" i="5"/>
  <c r="Z242" i="5"/>
  <c r="Z55" i="5"/>
  <c r="Z35" i="5"/>
  <c r="Z354" i="5"/>
  <c r="Z230" i="5"/>
  <c r="Z506" i="5"/>
  <c r="Z72" i="5"/>
  <c r="Z177" i="5"/>
  <c r="Z77" i="5"/>
  <c r="Z236" i="5"/>
  <c r="Z69" i="5"/>
  <c r="Z487" i="5"/>
  <c r="Z207" i="5"/>
  <c r="Z38" i="5"/>
  <c r="Z193" i="5"/>
  <c r="Z300" i="5"/>
  <c r="Z465" i="5"/>
  <c r="Z445" i="5"/>
  <c r="Z338" i="5"/>
  <c r="Z134" i="5"/>
  <c r="Z395" i="5"/>
  <c r="Z311" i="5"/>
  <c r="Z240" i="5"/>
  <c r="Z537" i="5"/>
  <c r="Z302" i="5"/>
  <c r="Z180" i="5"/>
  <c r="Z79" i="5"/>
  <c r="Z367" i="5"/>
  <c r="Z208" i="5"/>
  <c r="Z373" i="5"/>
  <c r="Z66" i="5"/>
  <c r="Z112" i="5"/>
  <c r="Z22" i="5"/>
  <c r="Z513" i="5"/>
  <c r="Z144" i="5"/>
  <c r="Z505" i="5"/>
  <c r="Z442" i="5"/>
  <c r="Z387" i="5"/>
  <c r="Z470" i="5"/>
  <c r="Z456" i="5"/>
  <c r="Z279" i="5"/>
  <c r="Z351" i="5"/>
  <c r="Z221" i="5"/>
  <c r="Z285" i="5"/>
  <c r="Z127" i="5"/>
  <c r="Z428" i="5"/>
  <c r="Z19" i="5"/>
  <c r="Z215" i="5"/>
  <c r="Z400" i="5"/>
  <c r="Z270" i="5"/>
  <c r="Z518" i="5"/>
  <c r="Z114" i="5"/>
  <c r="Z28" i="5"/>
  <c r="Z287" i="5"/>
  <c r="Z426" i="5"/>
  <c r="Z47" i="5"/>
  <c r="Z325" i="5"/>
  <c r="Z195" i="5"/>
  <c r="Z440" i="5"/>
  <c r="Z130" i="5"/>
  <c r="Z256" i="5"/>
  <c r="Z266" i="5"/>
  <c r="Z204" i="5"/>
  <c r="Z90" i="5"/>
  <c r="Z310" i="5"/>
  <c r="Z118" i="5"/>
  <c r="Z475" i="5"/>
  <c r="Z552" i="5"/>
  <c r="Z380" i="5"/>
  <c r="Z272" i="5"/>
  <c r="Z27" i="5"/>
  <c r="Z186" i="5"/>
  <c r="Z46" i="5"/>
  <c r="Z61" i="5"/>
  <c r="Z471" i="5"/>
  <c r="Z115" i="5"/>
  <c r="Z75" i="5"/>
  <c r="Z369" i="5"/>
  <c r="Z464" i="5"/>
  <c r="Z499" i="5"/>
  <c r="Z247" i="5"/>
  <c r="Z103" i="5"/>
  <c r="Z494" i="5"/>
  <c r="Z23" i="5"/>
  <c r="Z254" i="5"/>
  <c r="Z126" i="5"/>
  <c r="Z480" i="5"/>
  <c r="Z527" i="5"/>
  <c r="Z458" i="5"/>
  <c r="Z168" i="5"/>
  <c r="Z166" i="5"/>
  <c r="Z502" i="5"/>
  <c r="Z521" i="5"/>
  <c r="Z421" i="5"/>
  <c r="Z282" i="5"/>
  <c r="Z496" i="5"/>
  <c r="Z30" i="5"/>
  <c r="Z251" i="5"/>
  <c r="Z179" i="5"/>
  <c r="Z12" i="5"/>
  <c r="Z228" i="5"/>
  <c r="Z290" i="5"/>
  <c r="Z318" i="5"/>
  <c r="Z485" i="5"/>
  <c r="Z476" i="5"/>
  <c r="Z147" i="5"/>
  <c r="Z226" i="5"/>
  <c r="Z142" i="5"/>
  <c r="Z474" i="5"/>
  <c r="Z37" i="5"/>
  <c r="Z457" i="5"/>
  <c r="Z216" i="5"/>
  <c r="Z212" i="5"/>
  <c r="Z227" i="5"/>
  <c r="Z276" i="5"/>
  <c r="Z273" i="5"/>
  <c r="Z321" i="5"/>
  <c r="Z123" i="5"/>
  <c r="Z330" i="5"/>
  <c r="Z172" i="5"/>
  <c r="Z156" i="5"/>
  <c r="Z391" i="5"/>
  <c r="Z94" i="5"/>
  <c r="Z366" i="5"/>
  <c r="Z36" i="5"/>
  <c r="Z292" i="5"/>
  <c r="Z263" i="5"/>
  <c r="Z418" i="5"/>
  <c r="Z547" i="5"/>
  <c r="Z189" i="5"/>
  <c r="Z178" i="5"/>
  <c r="Z536" i="5"/>
  <c r="Z48" i="5"/>
  <c r="Z472" i="5"/>
  <c r="Z504" i="5"/>
  <c r="Z128" i="5"/>
  <c r="Z534" i="5"/>
  <c r="Z86" i="5"/>
  <c r="Z524" i="5"/>
  <c r="Z411" i="5"/>
  <c r="Z413" i="5"/>
  <c r="Z56" i="5"/>
  <c r="Z443" i="5"/>
  <c r="Z531" i="5"/>
  <c r="Z301" i="5"/>
  <c r="Z155" i="5"/>
  <c r="Z104" i="5"/>
  <c r="Z145" i="5"/>
  <c r="Z466" i="5"/>
  <c r="Z167" i="5"/>
  <c r="Z481" i="5"/>
  <c r="Z194" i="5"/>
  <c r="Z517" i="5"/>
  <c r="Z550" i="5"/>
  <c r="Z120" i="5"/>
  <c r="Z111" i="5"/>
  <c r="Z508" i="5"/>
  <c r="Z478" i="5"/>
  <c r="Z303" i="5"/>
  <c r="Z495" i="5"/>
  <c r="Z258" i="5"/>
  <c r="Z437" i="5"/>
  <c r="Z355" i="5"/>
  <c r="Z54" i="5"/>
  <c r="Z339" i="5"/>
  <c r="Z220" i="5"/>
  <c r="Z372" i="5"/>
  <c r="Z390" i="5"/>
  <c r="Z73" i="5"/>
  <c r="Z519" i="5"/>
  <c r="Z374" i="5"/>
  <c r="Z389" i="5"/>
  <c r="Z213" i="5"/>
  <c r="Z117" i="5"/>
  <c r="Z497" i="5"/>
  <c r="Z469" i="5"/>
  <c r="Z326" i="5"/>
  <c r="Z340" i="5"/>
  <c r="Z314" i="5"/>
  <c r="Z333" i="5"/>
  <c r="Z140" i="5"/>
  <c r="Z160" i="5"/>
  <c r="Z97" i="5"/>
  <c r="Z462" i="5"/>
  <c r="Z214" i="5"/>
  <c r="Z551" i="5"/>
  <c r="Z558" i="5"/>
  <c r="Z60" i="5"/>
  <c r="Z523" i="5"/>
  <c r="Z489" i="5"/>
  <c r="Z305" i="5"/>
  <c r="Z491" i="5"/>
  <c r="Z384" i="5"/>
  <c r="Z250" i="5"/>
  <c r="Z291" i="5"/>
  <c r="Z416" i="5"/>
  <c r="Z231" i="5"/>
  <c r="Z158" i="5"/>
  <c r="Z559" i="5"/>
  <c r="Z271" i="5"/>
  <c r="Z370" i="5"/>
  <c r="Z392" i="5"/>
  <c r="Z209" i="5"/>
  <c r="Z438" i="5"/>
  <c r="Z74" i="5"/>
  <c r="Z286" i="5"/>
  <c r="Z267" i="5"/>
  <c r="Z382" i="5"/>
  <c r="Z298" i="5"/>
  <c r="Z268" i="5"/>
  <c r="Z133" i="5"/>
  <c r="Z255" i="5"/>
  <c r="Z540" i="5"/>
  <c r="Z42" i="5"/>
  <c r="Z544" i="5"/>
  <c r="Z92" i="5"/>
  <c r="Z538" i="5"/>
  <c r="Z284" i="5"/>
  <c r="Z553" i="5"/>
  <c r="Z297" i="5"/>
  <c r="Z381" i="5"/>
  <c r="Z70" i="5"/>
  <c r="Z217" i="5"/>
  <c r="Z403" i="5"/>
  <c r="Z328" i="5"/>
  <c r="Z294" i="5"/>
  <c r="Z309" i="5"/>
  <c r="Z53" i="5"/>
  <c r="Z235" i="5"/>
  <c r="Z423" i="5"/>
  <c r="Z125" i="5"/>
  <c r="Z93" i="5"/>
  <c r="Z261" i="5"/>
  <c r="Z541" i="5"/>
  <c r="Z40" i="5"/>
  <c r="Z434" i="5"/>
  <c r="Z151" i="5"/>
  <c r="Z396" i="5"/>
  <c r="Z238" i="5"/>
  <c r="Z424" i="5"/>
  <c r="Z477" i="5"/>
  <c r="Z32" i="5"/>
  <c r="Z548" i="5"/>
  <c r="Z52" i="5"/>
  <c r="Z83" i="5"/>
  <c r="Z113" i="5"/>
  <c r="Z468" i="5"/>
  <c r="Z535" i="5"/>
  <c r="Z295" i="5"/>
  <c r="Z307" i="5"/>
  <c r="Z121" i="5"/>
  <c r="Z526" i="5"/>
  <c r="Z532" i="5"/>
  <c r="Z108" i="5"/>
  <c r="Z316" i="5"/>
  <c r="Z277" i="5"/>
  <c r="Z29" i="5"/>
  <c r="Z173" i="5"/>
  <c r="Z364" i="5"/>
  <c r="Z334" i="5"/>
  <c r="Z58" i="5"/>
  <c r="Z176" i="5"/>
  <c r="Z358" i="5"/>
  <c r="Z359" i="5"/>
  <c r="Z360" i="5"/>
  <c r="Z394" i="5"/>
  <c r="Z109" i="5"/>
  <c r="Z132" i="5"/>
  <c r="Z174" i="5"/>
  <c r="Z224" i="5"/>
  <c r="Z463" i="5"/>
  <c r="Z154" i="5"/>
  <c r="Z545" i="5"/>
  <c r="Z479" i="5"/>
  <c r="Z397" i="5"/>
  <c r="Z404" i="5"/>
  <c r="Z425" i="5"/>
  <c r="Z153" i="5"/>
  <c r="Z560" i="5"/>
  <c r="Z329" i="5"/>
  <c r="Z105" i="5"/>
  <c r="Z383" i="5"/>
  <c r="Z253" i="5"/>
  <c r="Z21" i="5"/>
  <c r="Z398" i="5"/>
  <c r="Z201" i="5"/>
  <c r="Z102" i="5"/>
  <c r="Z427" i="5"/>
  <c r="Z185" i="5"/>
  <c r="Z49" i="5"/>
  <c r="Z188" i="5"/>
  <c r="Z341" i="5"/>
  <c r="Z293" i="5"/>
  <c r="Z210" i="5"/>
  <c r="Z225" i="5"/>
  <c r="Z219" i="5"/>
  <c r="Z101" i="5"/>
  <c r="Z157" i="5"/>
  <c r="Z289" i="5"/>
  <c r="Z249" i="5"/>
  <c r="Z150" i="5"/>
  <c r="Z136" i="5"/>
  <c r="Z557" i="5"/>
  <c r="Z419" i="5"/>
  <c r="Z164" i="5"/>
  <c r="Z99" i="5"/>
  <c r="Z162" i="5"/>
  <c r="Z453" i="5"/>
  <c r="Z371" i="5"/>
  <c r="Z323" i="5"/>
  <c r="Z520" i="5"/>
  <c r="Z248" i="5"/>
  <c r="Z344" i="5"/>
  <c r="Z385" i="5"/>
  <c r="Z345" i="5"/>
  <c r="Z281" i="5"/>
  <c r="Z67" i="5"/>
  <c r="Z444" i="5"/>
  <c r="Z388" i="5"/>
  <c r="Z454" i="5"/>
  <c r="Z441" i="5"/>
  <c r="Z451" i="5"/>
  <c r="Z420" i="5"/>
  <c r="Z304" i="5"/>
  <c r="Z556" i="5"/>
  <c r="Z243" i="5"/>
  <c r="Z41" i="5"/>
  <c r="Z357" i="5"/>
  <c r="AB7" i="5"/>
  <c r="AA7" i="5"/>
  <c r="AB357" i="5" l="1"/>
  <c r="AA357" i="5"/>
  <c r="AA304" i="5"/>
  <c r="AB304" i="5"/>
  <c r="AB454" i="5"/>
  <c r="AA454" i="5"/>
  <c r="AA281" i="5"/>
  <c r="AB281" i="5"/>
  <c r="AB248" i="5"/>
  <c r="AA248" i="5"/>
  <c r="AB453" i="5"/>
  <c r="AA453" i="5"/>
  <c r="AB419" i="5"/>
  <c r="AA419" i="5"/>
  <c r="AB249" i="5"/>
  <c r="AA249" i="5"/>
  <c r="AB219" i="5"/>
  <c r="AA219" i="5"/>
  <c r="AB341" i="5"/>
  <c r="AA341" i="5"/>
  <c r="AB427" i="5"/>
  <c r="AA427" i="5"/>
  <c r="AA21" i="5"/>
  <c r="AB21" i="5"/>
  <c r="AA329" i="5"/>
  <c r="AB329" i="5"/>
  <c r="AB404" i="5"/>
  <c r="AA404" i="5"/>
  <c r="AB154" i="5"/>
  <c r="AA154" i="5"/>
  <c r="AB132" i="5"/>
  <c r="AA132" i="5"/>
  <c r="AB359" i="5"/>
  <c r="AA359" i="5"/>
  <c r="AB334" i="5"/>
  <c r="AA334" i="5"/>
  <c r="AA277" i="5"/>
  <c r="AB277" i="5"/>
  <c r="AA526" i="5"/>
  <c r="AB526" i="5"/>
  <c r="AB535" i="5"/>
  <c r="AA535" i="5"/>
  <c r="AB52" i="5"/>
  <c r="AA52" i="5"/>
  <c r="AB424" i="5"/>
  <c r="AA424" i="5"/>
  <c r="AA434" i="5"/>
  <c r="AB434" i="5"/>
  <c r="AB93" i="5"/>
  <c r="AA93" i="5"/>
  <c r="AB53" i="5"/>
  <c r="AA53" i="5"/>
  <c r="AA403" i="5"/>
  <c r="AB403" i="5"/>
  <c r="AA297" i="5"/>
  <c r="AB297" i="5"/>
  <c r="AA92" i="5"/>
  <c r="AB92" i="5"/>
  <c r="AA255" i="5"/>
  <c r="AB255" i="5"/>
  <c r="AA382" i="5"/>
  <c r="AB382" i="5"/>
  <c r="AA438" i="5"/>
  <c r="AB438" i="5"/>
  <c r="AA271" i="5"/>
  <c r="AB271" i="5"/>
  <c r="AA416" i="5"/>
  <c r="AB416" i="5"/>
  <c r="AA491" i="5"/>
  <c r="AB491" i="5"/>
  <c r="AB60" i="5"/>
  <c r="AA60" i="5"/>
  <c r="AA462" i="5"/>
  <c r="AB462" i="5"/>
  <c r="AA333" i="5"/>
  <c r="AB333" i="5"/>
  <c r="AB469" i="5"/>
  <c r="AA469" i="5"/>
  <c r="AA389" i="5"/>
  <c r="AB389" i="5"/>
  <c r="AA390" i="5"/>
  <c r="AB390" i="5"/>
  <c r="AA54" i="5"/>
  <c r="AB54" i="5"/>
  <c r="AA495" i="5"/>
  <c r="AB495" i="5"/>
  <c r="AB111" i="5"/>
  <c r="AA111" i="5"/>
  <c r="AB194" i="5"/>
  <c r="AA194" i="5"/>
  <c r="AB145" i="5"/>
  <c r="AA145" i="5"/>
  <c r="AA531" i="5"/>
  <c r="AB531" i="5"/>
  <c r="AA411" i="5"/>
  <c r="AB411" i="5"/>
  <c r="AB128" i="5"/>
  <c r="AA128" i="5"/>
  <c r="AB536" i="5"/>
  <c r="AA536" i="5"/>
  <c r="AB418" i="5"/>
  <c r="AA418" i="5"/>
  <c r="AB366" i="5"/>
  <c r="AA366" i="5"/>
  <c r="AA172" i="5"/>
  <c r="AB172" i="5"/>
  <c r="AA273" i="5"/>
  <c r="AB273" i="5"/>
  <c r="AA216" i="5"/>
  <c r="AB216" i="5"/>
  <c r="AB142" i="5"/>
  <c r="AA142" i="5"/>
  <c r="AA485" i="5"/>
  <c r="AB485" i="5"/>
  <c r="AB12" i="5"/>
  <c r="AA12" i="5"/>
  <c r="AB496" i="5"/>
  <c r="AA496" i="5"/>
  <c r="AA502" i="5"/>
  <c r="AB502" i="5"/>
  <c r="AA527" i="5"/>
  <c r="AB527" i="5"/>
  <c r="AA23" i="5"/>
  <c r="AB23" i="5"/>
  <c r="AB499" i="5"/>
  <c r="AA499" i="5"/>
  <c r="AA115" i="5"/>
  <c r="AB115" i="5"/>
  <c r="AA186" i="5"/>
  <c r="AB186" i="5"/>
  <c r="AB552" i="5"/>
  <c r="AA552" i="5"/>
  <c r="AA90" i="5"/>
  <c r="AB90" i="5"/>
  <c r="AB130" i="5"/>
  <c r="AA130" i="5"/>
  <c r="AA47" i="5"/>
  <c r="AB47" i="5"/>
  <c r="AA114" i="5"/>
  <c r="AB114" i="5"/>
  <c r="AA215" i="5"/>
  <c r="AB215" i="5"/>
  <c r="AA285" i="5"/>
  <c r="AB285" i="5"/>
  <c r="AA456" i="5"/>
  <c r="AB456" i="5"/>
  <c r="AA505" i="5"/>
  <c r="AB505" i="5"/>
  <c r="AB112" i="5"/>
  <c r="AA112" i="5"/>
  <c r="AB367" i="5"/>
  <c r="AA367" i="5"/>
  <c r="AA537" i="5"/>
  <c r="AB537" i="5"/>
  <c r="AA134" i="5"/>
  <c r="AB134" i="5"/>
  <c r="AB300" i="5"/>
  <c r="AA300" i="5"/>
  <c r="AB487" i="5"/>
  <c r="AA487" i="5"/>
  <c r="AB77" i="5"/>
  <c r="AA77" i="5"/>
  <c r="AA230" i="5"/>
  <c r="AB230" i="5"/>
  <c r="AB242" i="5"/>
  <c r="AA242" i="5"/>
  <c r="AA187" i="5"/>
  <c r="AB187" i="5"/>
  <c r="AA116" i="5"/>
  <c r="AB116" i="5"/>
  <c r="AA507" i="5"/>
  <c r="AB507" i="5"/>
  <c r="AB336" i="5"/>
  <c r="AA336" i="5"/>
  <c r="AA26" i="5"/>
  <c r="AB26" i="5"/>
  <c r="AA146" i="5"/>
  <c r="AB146" i="5"/>
  <c r="AB161" i="5"/>
  <c r="AA161" i="5"/>
  <c r="AA516" i="5"/>
  <c r="AB516" i="5"/>
  <c r="AA124" i="5"/>
  <c r="AB124" i="5"/>
  <c r="AA522" i="5"/>
  <c r="AB522" i="5"/>
  <c r="AB165" i="5"/>
  <c r="AA165" i="5"/>
  <c r="AB503" i="5"/>
  <c r="AA503" i="5"/>
  <c r="AA184" i="5"/>
  <c r="AB184" i="5"/>
  <c r="AB190" i="5"/>
  <c r="AA190" i="5"/>
  <c r="AA137" i="5"/>
  <c r="AB137" i="5"/>
  <c r="AA24" i="5"/>
  <c r="AB24" i="5"/>
  <c r="AB234" i="5"/>
  <c r="AA234" i="5"/>
  <c r="AA106" i="5"/>
  <c r="AB106" i="5"/>
  <c r="AB8" i="5"/>
  <c r="AA8" i="5"/>
  <c r="AB159" i="5"/>
  <c r="AA159" i="5"/>
  <c r="AB483" i="5"/>
  <c r="AA483" i="5"/>
  <c r="AA317" i="5"/>
  <c r="AB317" i="5"/>
  <c r="AB320" i="5"/>
  <c r="AA320" i="5"/>
  <c r="AB84" i="5"/>
  <c r="AA84" i="5"/>
  <c r="AA169" i="5"/>
  <c r="AB169" i="5"/>
  <c r="AA408" i="5"/>
  <c r="AB408" i="5"/>
  <c r="AA450" i="5"/>
  <c r="AB450" i="5"/>
  <c r="AA222" i="5"/>
  <c r="AB222" i="5"/>
  <c r="AB65" i="5"/>
  <c r="AA65" i="5"/>
  <c r="AA449" i="5"/>
  <c r="AB449" i="5"/>
  <c r="AA414" i="5"/>
  <c r="AB414" i="5"/>
  <c r="AB63" i="5"/>
  <c r="AA63" i="5"/>
  <c r="AB409" i="5"/>
  <c r="AA409" i="5"/>
  <c r="AA13" i="5"/>
  <c r="AB13" i="5"/>
  <c r="AA119" i="5"/>
  <c r="AB119" i="5"/>
  <c r="AB352" i="5"/>
  <c r="AA352" i="5"/>
  <c r="AA431" i="5"/>
  <c r="AB431" i="5"/>
  <c r="AB196" i="5"/>
  <c r="AA196" i="5"/>
  <c r="AB542" i="5"/>
  <c r="AA542" i="5"/>
  <c r="AB543" i="5"/>
  <c r="AA543" i="5"/>
  <c r="AA202" i="5"/>
  <c r="AB202" i="5"/>
  <c r="AB182" i="5"/>
  <c r="AA182" i="5"/>
  <c r="AA435" i="5"/>
  <c r="AB435" i="5"/>
  <c r="AA98" i="5"/>
  <c r="AB98" i="5"/>
  <c r="AB348" i="5"/>
  <c r="AA348" i="5"/>
  <c r="AB510" i="5"/>
  <c r="AA510" i="5"/>
  <c r="AA288" i="5"/>
  <c r="AB288" i="5"/>
  <c r="AB107" i="5"/>
  <c r="AA107" i="5"/>
  <c r="AA34" i="5"/>
  <c r="AB34" i="5"/>
  <c r="AA378" i="5"/>
  <c r="AB378" i="5"/>
  <c r="AA337" i="5"/>
  <c r="AB337" i="5"/>
  <c r="AA246" i="5"/>
  <c r="AB246" i="5"/>
  <c r="AA80" i="5"/>
  <c r="AB80" i="5"/>
  <c r="AB375" i="5"/>
  <c r="AA375" i="5"/>
  <c r="AA41" i="5"/>
  <c r="AB41" i="5"/>
  <c r="AB420" i="5"/>
  <c r="AA420" i="5"/>
  <c r="AB388" i="5"/>
  <c r="AA388" i="5"/>
  <c r="AB345" i="5"/>
  <c r="AA345" i="5"/>
  <c r="AA520" i="5"/>
  <c r="AB520" i="5"/>
  <c r="AA162" i="5"/>
  <c r="AB162" i="5"/>
  <c r="AA557" i="5"/>
  <c r="AB557" i="5"/>
  <c r="AB289" i="5"/>
  <c r="AA289" i="5"/>
  <c r="AB225" i="5"/>
  <c r="AA225" i="5"/>
  <c r="AB188" i="5"/>
  <c r="AA188" i="5"/>
  <c r="AA102" i="5"/>
  <c r="AB102" i="5"/>
  <c r="AB253" i="5"/>
  <c r="AA253" i="5"/>
  <c r="AB560" i="5"/>
  <c r="AA560" i="5"/>
  <c r="AA397" i="5"/>
  <c r="AB397" i="5"/>
  <c r="AB463" i="5"/>
  <c r="AA463" i="5"/>
  <c r="AB109" i="5"/>
  <c r="AA109" i="5"/>
  <c r="AB358" i="5"/>
  <c r="AA358" i="5"/>
  <c r="AA364" i="5"/>
  <c r="AB364" i="5"/>
  <c r="AA316" i="5"/>
  <c r="AB316" i="5"/>
  <c r="AA121" i="5"/>
  <c r="AB121" i="5"/>
  <c r="AA468" i="5"/>
  <c r="AB468" i="5"/>
  <c r="AB548" i="5"/>
  <c r="AA548" i="5"/>
  <c r="AB238" i="5"/>
  <c r="AA238" i="5"/>
  <c r="AB40" i="5"/>
  <c r="AA40" i="5"/>
  <c r="AA125" i="5"/>
  <c r="AB125" i="5"/>
  <c r="AB309" i="5"/>
  <c r="AA309" i="5"/>
  <c r="AB217" i="5"/>
  <c r="AA217" i="5"/>
  <c r="AA553" i="5"/>
  <c r="AB553" i="5"/>
  <c r="AB544" i="5"/>
  <c r="AA544" i="5"/>
  <c r="AA133" i="5"/>
  <c r="AB133" i="5"/>
  <c r="AA267" i="5"/>
  <c r="AB267" i="5"/>
  <c r="AB209" i="5"/>
  <c r="AA209" i="5"/>
  <c r="AA559" i="5"/>
  <c r="AB559" i="5"/>
  <c r="AB291" i="5"/>
  <c r="AA291" i="5"/>
  <c r="AA305" i="5"/>
  <c r="AB305" i="5"/>
  <c r="AB558" i="5"/>
  <c r="AA558" i="5"/>
  <c r="AB97" i="5"/>
  <c r="AA97" i="5"/>
  <c r="AA314" i="5"/>
  <c r="AB314" i="5"/>
  <c r="AB497" i="5"/>
  <c r="AA497" i="5"/>
  <c r="AB374" i="5"/>
  <c r="AA374" i="5"/>
  <c r="AB372" i="5"/>
  <c r="AA372" i="5"/>
  <c r="AA355" i="5"/>
  <c r="AB355" i="5"/>
  <c r="AB303" i="5"/>
  <c r="AA303" i="5"/>
  <c r="AA120" i="5"/>
  <c r="AB120" i="5"/>
  <c r="AB481" i="5"/>
  <c r="AA481" i="5"/>
  <c r="AA104" i="5"/>
  <c r="AB104" i="5"/>
  <c r="AB443" i="5"/>
  <c r="AA443" i="5"/>
  <c r="AA524" i="5"/>
  <c r="AB524" i="5"/>
  <c r="AB504" i="5"/>
  <c r="AA504" i="5"/>
  <c r="AA178" i="5"/>
  <c r="AB178" i="5"/>
  <c r="AB263" i="5"/>
  <c r="AA263" i="5"/>
  <c r="AA94" i="5"/>
  <c r="AB94" i="5"/>
  <c r="AA330" i="5"/>
  <c r="AB330" i="5"/>
  <c r="AB276" i="5"/>
  <c r="AA276" i="5"/>
  <c r="AB457" i="5"/>
  <c r="AA457" i="5"/>
  <c r="AB226" i="5"/>
  <c r="AA226" i="5"/>
  <c r="AA318" i="5"/>
  <c r="AB318" i="5"/>
  <c r="AB179" i="5"/>
  <c r="AA179" i="5"/>
  <c r="AA282" i="5"/>
  <c r="AB282" i="5"/>
  <c r="AB166" i="5"/>
  <c r="AA166" i="5"/>
  <c r="AA480" i="5"/>
  <c r="AB480" i="5"/>
  <c r="AB494" i="5"/>
  <c r="AA494" i="5"/>
  <c r="AA464" i="5"/>
  <c r="AB464" i="5"/>
  <c r="AA471" i="5"/>
  <c r="AB471" i="5"/>
  <c r="AA27" i="5"/>
  <c r="AB27" i="5"/>
  <c r="AB475" i="5"/>
  <c r="AA475" i="5"/>
  <c r="AB204" i="5"/>
  <c r="AA204" i="5"/>
  <c r="AA440" i="5"/>
  <c r="AB440" i="5"/>
  <c r="AB426" i="5"/>
  <c r="AA426" i="5"/>
  <c r="AA518" i="5"/>
  <c r="AB518" i="5"/>
  <c r="AA19" i="5"/>
  <c r="AB19" i="5"/>
  <c r="AB221" i="5"/>
  <c r="AA221" i="5"/>
  <c r="AA470" i="5"/>
  <c r="AB470" i="5"/>
  <c r="AA144" i="5"/>
  <c r="AB144" i="5"/>
  <c r="AA66" i="5"/>
  <c r="AB66" i="5"/>
  <c r="AA79" i="5"/>
  <c r="AB79" i="5"/>
  <c r="AB240" i="5"/>
  <c r="AA240" i="5"/>
  <c r="AB338" i="5"/>
  <c r="AA338" i="5"/>
  <c r="AB193" i="5"/>
  <c r="AA193" i="5"/>
  <c r="AA177" i="5"/>
  <c r="AB177" i="5"/>
  <c r="AA354" i="5"/>
  <c r="AB354" i="5"/>
  <c r="AB473" i="5"/>
  <c r="AA473" i="5"/>
  <c r="AB362" i="5"/>
  <c r="AA362" i="5"/>
  <c r="AA429" i="5"/>
  <c r="AB429" i="5"/>
  <c r="AB365" i="5"/>
  <c r="AA365" i="5"/>
  <c r="AB200" i="5"/>
  <c r="AA200" i="5"/>
  <c r="AB433" i="5"/>
  <c r="AA433" i="5"/>
  <c r="AB484" i="5"/>
  <c r="AA484" i="5"/>
  <c r="AB43" i="5"/>
  <c r="AA43" i="5"/>
  <c r="AA356" i="5"/>
  <c r="AB356" i="5"/>
  <c r="AA163" i="5"/>
  <c r="AB163" i="5"/>
  <c r="AA131" i="5"/>
  <c r="AB131" i="5"/>
  <c r="AA439" i="5"/>
  <c r="AB439" i="5"/>
  <c r="AA322" i="5"/>
  <c r="AB322" i="5"/>
  <c r="AA327" i="5"/>
  <c r="AB327" i="5"/>
  <c r="AA138" i="5"/>
  <c r="AB138" i="5"/>
  <c r="AB218" i="5"/>
  <c r="AA218" i="5"/>
  <c r="AB129" i="5"/>
  <c r="AA129" i="5"/>
  <c r="AA361" i="5"/>
  <c r="AB361" i="5"/>
  <c r="AA312" i="5"/>
  <c r="AB312" i="5"/>
  <c r="AA81" i="5"/>
  <c r="AB81" i="5"/>
  <c r="AA100" i="5"/>
  <c r="AB100" i="5"/>
  <c r="AA241" i="5"/>
  <c r="AB241" i="5"/>
  <c r="AB488" i="5"/>
  <c r="AA488" i="5"/>
  <c r="AB205" i="5"/>
  <c r="AA205" i="5"/>
  <c r="AB299" i="5"/>
  <c r="AA299" i="5"/>
  <c r="AB402" i="5"/>
  <c r="AA402" i="5"/>
  <c r="AA335" i="5"/>
  <c r="AB335" i="5"/>
  <c r="AB549" i="5"/>
  <c r="AA549" i="5"/>
  <c r="AB447" i="5"/>
  <c r="AA447" i="5"/>
  <c r="AA192" i="5"/>
  <c r="AB192" i="5"/>
  <c r="AB486" i="5"/>
  <c r="AA486" i="5"/>
  <c r="AA346" i="5"/>
  <c r="AB346" i="5"/>
  <c r="AA363" i="5"/>
  <c r="AB363" i="5"/>
  <c r="AB88" i="5"/>
  <c r="AA88" i="5"/>
  <c r="AB223" i="5"/>
  <c r="AA223" i="5"/>
  <c r="AA342" i="5"/>
  <c r="AB342" i="5"/>
  <c r="AB278" i="5"/>
  <c r="AA278" i="5"/>
  <c r="AA530" i="5"/>
  <c r="AB530" i="5"/>
  <c r="AB432" i="5"/>
  <c r="AA432" i="5"/>
  <c r="AA490" i="5"/>
  <c r="AB490" i="5"/>
  <c r="AB62" i="5"/>
  <c r="AA62" i="5"/>
  <c r="AA57" i="5"/>
  <c r="AB57" i="5"/>
  <c r="AB259" i="5"/>
  <c r="AA259" i="5"/>
  <c r="AA181" i="5"/>
  <c r="AB181" i="5"/>
  <c r="AA78" i="5"/>
  <c r="AB78" i="5"/>
  <c r="AA376" i="5"/>
  <c r="AB376" i="5"/>
  <c r="AA509" i="5"/>
  <c r="AB509" i="5"/>
  <c r="AA233" i="5"/>
  <c r="AB233" i="5"/>
  <c r="AA554" i="5"/>
  <c r="AB554" i="5"/>
  <c r="AA417" i="5"/>
  <c r="AB417" i="5"/>
  <c r="AB379" i="5"/>
  <c r="AA379" i="5"/>
  <c r="AB211" i="5"/>
  <c r="AA211" i="5"/>
  <c r="AB528" i="5"/>
  <c r="AA528" i="5"/>
  <c r="AA459" i="5"/>
  <c r="AB459" i="5"/>
  <c r="AB350" i="5"/>
  <c r="AA350" i="5"/>
  <c r="AA243" i="5"/>
  <c r="AB243" i="5"/>
  <c r="AB451" i="5"/>
  <c r="AA451" i="5"/>
  <c r="AA444" i="5"/>
  <c r="AB444" i="5"/>
  <c r="AB385" i="5"/>
  <c r="AA385" i="5"/>
  <c r="AA323" i="5"/>
  <c r="AB323" i="5"/>
  <c r="AA99" i="5"/>
  <c r="AB99" i="5"/>
  <c r="AB136" i="5"/>
  <c r="AA136" i="5"/>
  <c r="AA157" i="5"/>
  <c r="AB157" i="5"/>
  <c r="AB210" i="5"/>
  <c r="AA210" i="5"/>
  <c r="AB49" i="5"/>
  <c r="AA49" i="5"/>
  <c r="AB201" i="5"/>
  <c r="AA201" i="5"/>
  <c r="AB383" i="5"/>
  <c r="AA383" i="5"/>
  <c r="AA153" i="5"/>
  <c r="AB153" i="5"/>
  <c r="AB479" i="5"/>
  <c r="AA479" i="5"/>
  <c r="AB224" i="5"/>
  <c r="AA224" i="5"/>
  <c r="AB394" i="5"/>
  <c r="AA394" i="5"/>
  <c r="AB176" i="5"/>
  <c r="AA176" i="5"/>
  <c r="AB173" i="5"/>
  <c r="AA173" i="5"/>
  <c r="AB108" i="5"/>
  <c r="AA108" i="5"/>
  <c r="AA307" i="5"/>
  <c r="AB307" i="5"/>
  <c r="AA113" i="5"/>
  <c r="AB113" i="5"/>
  <c r="AB32" i="5"/>
  <c r="AA32" i="5"/>
  <c r="AB396" i="5"/>
  <c r="AA396" i="5"/>
  <c r="AA541" i="5"/>
  <c r="AB541" i="5"/>
  <c r="AA423" i="5"/>
  <c r="AB423" i="5"/>
  <c r="AB294" i="5"/>
  <c r="AA294" i="5"/>
  <c r="AB70" i="5"/>
  <c r="AA70" i="5"/>
  <c r="AB284" i="5"/>
  <c r="AA284" i="5"/>
  <c r="AB42" i="5"/>
  <c r="AA42" i="5"/>
  <c r="AA268" i="5"/>
  <c r="AB268" i="5"/>
  <c r="AB286" i="5"/>
  <c r="AA286" i="5"/>
  <c r="AB392" i="5"/>
  <c r="AA392" i="5"/>
  <c r="AA158" i="5"/>
  <c r="AB158" i="5"/>
  <c r="AB250" i="5"/>
  <c r="AA250" i="5"/>
  <c r="AA489" i="5"/>
  <c r="AB489" i="5"/>
  <c r="AA551" i="5"/>
  <c r="AB551" i="5"/>
  <c r="AA160" i="5"/>
  <c r="AB160" i="5"/>
  <c r="AB340" i="5"/>
  <c r="AA340" i="5"/>
  <c r="AB117" i="5"/>
  <c r="AA117" i="5"/>
  <c r="AB519" i="5"/>
  <c r="AA519" i="5"/>
  <c r="AA220" i="5"/>
  <c r="AB220" i="5"/>
  <c r="AB437" i="5"/>
  <c r="AA437" i="5"/>
  <c r="AA478" i="5"/>
  <c r="AB478" i="5"/>
  <c r="AA550" i="5"/>
  <c r="AB550" i="5"/>
  <c r="AB167" i="5"/>
  <c r="AA167" i="5"/>
  <c r="AB155" i="5"/>
  <c r="AA155" i="5"/>
  <c r="AA56" i="5"/>
  <c r="AB56" i="5"/>
  <c r="AA86" i="5"/>
  <c r="AB86" i="5"/>
  <c r="AA472" i="5"/>
  <c r="AB472" i="5"/>
  <c r="AB189" i="5"/>
  <c r="AA189" i="5"/>
  <c r="AA292" i="5"/>
  <c r="AB292" i="5"/>
  <c r="AB391" i="5"/>
  <c r="AA391" i="5"/>
  <c r="AB123" i="5"/>
  <c r="AA123" i="5"/>
  <c r="AA227" i="5"/>
  <c r="AB227" i="5"/>
  <c r="AB37" i="5"/>
  <c r="AA37" i="5"/>
  <c r="AB147" i="5"/>
  <c r="AA147" i="5"/>
  <c r="AB290" i="5"/>
  <c r="AA290" i="5"/>
  <c r="AB251" i="5"/>
  <c r="AA251" i="5"/>
  <c r="AB421" i="5"/>
  <c r="AA421" i="5"/>
  <c r="AA168" i="5"/>
  <c r="AB168" i="5"/>
  <c r="AA126" i="5"/>
  <c r="AB126" i="5"/>
  <c r="AA103" i="5"/>
  <c r="AB103" i="5"/>
  <c r="AB369" i="5"/>
  <c r="AA369" i="5"/>
  <c r="AA61" i="5"/>
  <c r="AB61" i="5"/>
  <c r="AB272" i="5"/>
  <c r="AA272" i="5"/>
  <c r="AA118" i="5"/>
  <c r="AB118" i="5"/>
  <c r="AA266" i="5"/>
  <c r="AB266" i="5"/>
  <c r="AB195" i="5"/>
  <c r="AA195" i="5"/>
  <c r="AA287" i="5"/>
  <c r="AB287" i="5"/>
  <c r="AB270" i="5"/>
  <c r="AA270" i="5"/>
  <c r="AA428" i="5"/>
  <c r="AB428" i="5"/>
  <c r="AB351" i="5"/>
  <c r="AA351" i="5"/>
  <c r="AA387" i="5"/>
  <c r="AB387" i="5"/>
  <c r="AB513" i="5"/>
  <c r="AA513" i="5"/>
  <c r="AA373" i="5"/>
  <c r="AB373" i="5"/>
  <c r="AA180" i="5"/>
  <c r="AB180" i="5"/>
  <c r="AB311" i="5"/>
  <c r="AA311" i="5"/>
  <c r="AA445" i="5"/>
  <c r="AB445" i="5"/>
  <c r="AA38" i="5"/>
  <c r="AB38" i="5"/>
  <c r="AB69" i="5"/>
  <c r="AA69" i="5"/>
  <c r="AA72" i="5"/>
  <c r="AB72" i="5"/>
  <c r="AA35" i="5"/>
  <c r="AB35" i="5"/>
  <c r="AB555" i="5"/>
  <c r="AA555" i="5"/>
  <c r="AA546" i="5"/>
  <c r="AB546" i="5"/>
  <c r="AA448" i="5"/>
  <c r="AB448" i="5"/>
  <c r="AB96" i="5"/>
  <c r="AA96" i="5"/>
  <c r="AB319" i="5"/>
  <c r="AA319" i="5"/>
  <c r="AA237" i="5"/>
  <c r="AB237" i="5"/>
  <c r="AA430" i="5"/>
  <c r="AB430" i="5"/>
  <c r="AB183" i="5"/>
  <c r="AA183" i="5"/>
  <c r="AA95" i="5"/>
  <c r="AB95" i="5"/>
  <c r="AA245" i="5"/>
  <c r="AB245" i="5"/>
  <c r="AA76" i="5"/>
  <c r="AB76" i="5"/>
  <c r="AB89" i="5"/>
  <c r="AA89" i="5"/>
  <c r="AB44" i="5"/>
  <c r="AA44" i="5"/>
  <c r="AB135" i="5"/>
  <c r="AA135" i="5"/>
  <c r="AB283" i="5"/>
  <c r="AA283" i="5"/>
  <c r="AB514" i="5"/>
  <c r="AA514" i="5"/>
  <c r="AA461" i="5"/>
  <c r="AB461" i="5"/>
  <c r="AB68" i="5"/>
  <c r="AA68" i="5"/>
  <c r="AA500" i="5"/>
  <c r="AB500" i="5"/>
  <c r="AA191" i="5"/>
  <c r="AB191" i="5"/>
  <c r="AA436" i="5"/>
  <c r="AB436" i="5"/>
  <c r="AA377" i="5"/>
  <c r="AB377" i="5"/>
  <c r="AB51" i="5"/>
  <c r="AA51" i="5"/>
  <c r="AA331" i="5"/>
  <c r="AB331" i="5"/>
  <c r="AA492" i="5"/>
  <c r="AB492" i="5"/>
  <c r="AB197" i="5"/>
  <c r="AA197" i="5"/>
  <c r="AA232" i="5"/>
  <c r="AB232" i="5"/>
  <c r="AB71" i="5"/>
  <c r="AA71" i="5"/>
  <c r="AB20" i="5"/>
  <c r="AA20" i="5"/>
  <c r="AA257" i="5"/>
  <c r="AB257" i="5"/>
  <c r="AA239" i="5"/>
  <c r="AB239" i="5"/>
  <c r="AA82" i="5"/>
  <c r="AB82" i="5"/>
  <c r="AB460" i="5"/>
  <c r="AA460" i="5"/>
  <c r="AB274" i="5"/>
  <c r="AA274" i="5"/>
  <c r="AB410" i="5"/>
  <c r="AA410" i="5"/>
  <c r="AB264" i="5"/>
  <c r="AA264" i="5"/>
  <c r="AA149" i="5"/>
  <c r="AB149" i="5"/>
  <c r="AB45" i="5"/>
  <c r="AA45" i="5"/>
  <c r="AA401" i="5"/>
  <c r="AB401" i="5"/>
  <c r="AA529" i="5"/>
  <c r="AB529" i="5"/>
  <c r="AA91" i="5"/>
  <c r="AB91" i="5"/>
  <c r="AB405" i="5"/>
  <c r="AA405" i="5"/>
  <c r="AB175" i="5"/>
  <c r="AA175" i="5"/>
  <c r="AA501" i="5"/>
  <c r="AB501" i="5"/>
  <c r="AA31" i="5"/>
  <c r="AB31" i="5"/>
  <c r="AA244" i="5"/>
  <c r="AB244" i="5"/>
  <c r="AB260" i="5"/>
  <c r="AA260" i="5"/>
  <c r="AB170" i="5"/>
  <c r="AA170" i="5"/>
  <c r="AA539" i="5"/>
  <c r="AB539" i="5"/>
  <c r="AB512" i="5"/>
  <c r="AA512" i="5"/>
  <c r="AA406" i="5"/>
  <c r="AB406" i="5"/>
  <c r="AB343" i="5"/>
  <c r="AA343" i="5"/>
  <c r="AB452" i="5"/>
  <c r="AA452" i="5"/>
  <c r="AA353" i="5"/>
  <c r="AB353" i="5"/>
  <c r="AA556" i="5"/>
  <c r="AB556" i="5"/>
  <c r="AB441" i="5"/>
  <c r="AA441" i="5"/>
  <c r="AB67" i="5"/>
  <c r="AA67" i="5"/>
  <c r="AA344" i="5"/>
  <c r="AB344" i="5"/>
  <c r="AA371" i="5"/>
  <c r="AB371" i="5"/>
  <c r="AA164" i="5"/>
  <c r="AB164" i="5"/>
  <c r="AB150" i="5"/>
  <c r="AA150" i="5"/>
  <c r="AA101" i="5"/>
  <c r="AB101" i="5"/>
  <c r="AA293" i="5"/>
  <c r="AB293" i="5"/>
  <c r="AB185" i="5"/>
  <c r="AA185" i="5"/>
  <c r="AB398" i="5"/>
  <c r="AA398" i="5"/>
  <c r="AA105" i="5"/>
  <c r="AB105" i="5"/>
  <c r="AB425" i="5"/>
  <c r="AA425" i="5"/>
  <c r="AA545" i="5"/>
  <c r="AB545" i="5"/>
  <c r="AA174" i="5"/>
  <c r="AB174" i="5"/>
  <c r="AA360" i="5"/>
  <c r="AB360" i="5"/>
  <c r="AB58" i="5"/>
  <c r="AA58" i="5"/>
  <c r="AA29" i="5"/>
  <c r="AB29" i="5"/>
  <c r="AA532" i="5"/>
  <c r="AB532" i="5"/>
  <c r="AB295" i="5"/>
  <c r="AA295" i="5"/>
  <c r="AB83" i="5"/>
  <c r="AA83" i="5"/>
  <c r="AB477" i="5"/>
  <c r="AA477" i="5"/>
  <c r="AA151" i="5"/>
  <c r="AB151" i="5"/>
  <c r="AB261" i="5"/>
  <c r="AA261" i="5"/>
  <c r="AA235" i="5"/>
  <c r="AB235" i="5"/>
  <c r="AB328" i="5"/>
  <c r="AA328" i="5"/>
  <c r="AB381" i="5"/>
  <c r="AA381" i="5"/>
  <c r="AA538" i="5"/>
  <c r="AB538" i="5"/>
  <c r="AB540" i="5"/>
  <c r="AA540" i="5"/>
  <c r="AA298" i="5"/>
  <c r="AB298" i="5"/>
  <c r="AA74" i="5"/>
  <c r="AB74" i="5"/>
  <c r="AB370" i="5"/>
  <c r="AA370" i="5"/>
  <c r="AA231" i="5"/>
  <c r="AB231" i="5"/>
  <c r="AA384" i="5"/>
  <c r="AB384" i="5"/>
  <c r="AA523" i="5"/>
  <c r="AB523" i="5"/>
  <c r="AA214" i="5"/>
  <c r="AB214" i="5"/>
  <c r="AA140" i="5"/>
  <c r="AB140" i="5"/>
  <c r="AA326" i="5"/>
  <c r="AB326" i="5"/>
  <c r="AA213" i="5"/>
  <c r="AB213" i="5"/>
  <c r="AA73" i="5"/>
  <c r="AB73" i="5"/>
  <c r="AA339" i="5"/>
  <c r="AB339" i="5"/>
  <c r="AA258" i="5"/>
  <c r="AB258" i="5"/>
  <c r="AA508" i="5"/>
  <c r="AB508" i="5"/>
  <c r="AA517" i="5"/>
  <c r="AB517" i="5"/>
  <c r="AB466" i="5"/>
  <c r="AA466" i="5"/>
  <c r="AA301" i="5"/>
  <c r="AB301" i="5"/>
  <c r="AA413" i="5"/>
  <c r="AB413" i="5"/>
  <c r="AA534" i="5"/>
  <c r="AB534" i="5"/>
  <c r="AA48" i="5"/>
  <c r="AB48" i="5"/>
  <c r="AA547" i="5"/>
  <c r="AB547" i="5"/>
  <c r="AB36" i="5"/>
  <c r="AA36" i="5"/>
  <c r="AB156" i="5"/>
  <c r="AA156" i="5"/>
  <c r="AB321" i="5"/>
  <c r="AA321" i="5"/>
  <c r="AA212" i="5"/>
  <c r="AB212" i="5"/>
  <c r="AB474" i="5"/>
  <c r="AA474" i="5"/>
  <c r="AB476" i="5"/>
  <c r="AA476" i="5"/>
  <c r="AA228" i="5"/>
  <c r="AB228" i="5"/>
  <c r="AB30" i="5"/>
  <c r="AA30" i="5"/>
  <c r="AA521" i="5"/>
  <c r="AB521" i="5"/>
  <c r="AA458" i="5"/>
  <c r="AB458" i="5"/>
  <c r="AA254" i="5"/>
  <c r="AB254" i="5"/>
  <c r="AB247" i="5"/>
  <c r="AA247" i="5"/>
  <c r="AA75" i="5"/>
  <c r="AB75" i="5"/>
  <c r="AB46" i="5"/>
  <c r="AA46" i="5"/>
  <c r="AB380" i="5"/>
  <c r="AA380" i="5"/>
  <c r="AB310" i="5"/>
  <c r="AA310" i="5"/>
  <c r="AB256" i="5"/>
  <c r="AA256" i="5"/>
  <c r="AA325" i="5"/>
  <c r="AB325" i="5"/>
  <c r="AB28" i="5"/>
  <c r="AA28" i="5"/>
  <c r="AB400" i="5"/>
  <c r="AA400" i="5"/>
  <c r="AA127" i="5"/>
  <c r="AB127" i="5"/>
  <c r="AB279" i="5"/>
  <c r="AA279" i="5"/>
  <c r="AB442" i="5"/>
  <c r="AA442" i="5"/>
  <c r="AA22" i="5"/>
  <c r="AB22" i="5"/>
  <c r="AA208" i="5"/>
  <c r="AB208" i="5"/>
  <c r="AB302" i="5"/>
  <c r="AA302" i="5"/>
  <c r="AB395" i="5"/>
  <c r="AA395" i="5"/>
  <c r="AA465" i="5"/>
  <c r="AB465" i="5"/>
  <c r="AB207" i="5"/>
  <c r="AA207" i="5"/>
  <c r="AB236" i="5"/>
  <c r="AA236" i="5"/>
  <c r="AA506" i="5"/>
  <c r="AB506" i="5"/>
  <c r="AA55" i="5"/>
  <c r="AB55" i="5"/>
  <c r="AA143" i="5"/>
  <c r="AB143" i="5"/>
  <c r="AA315" i="5"/>
  <c r="AB315" i="5"/>
  <c r="AA407" i="5"/>
  <c r="AB407" i="5"/>
  <c r="AB265" i="5"/>
  <c r="AA265" i="5"/>
  <c r="AA415" i="5"/>
  <c r="AB415" i="5"/>
  <c r="AA59" i="5"/>
  <c r="AB59" i="5"/>
  <c r="AB171" i="5"/>
  <c r="AA171" i="5"/>
  <c r="AB25" i="5"/>
  <c r="AA25" i="5"/>
  <c r="AA110" i="5"/>
  <c r="AB110" i="5"/>
  <c r="AA498" i="5"/>
  <c r="AB498" i="5"/>
  <c r="AA64" i="5"/>
  <c r="AB64" i="5"/>
  <c r="AB349" i="5"/>
  <c r="AA349" i="5"/>
  <c r="AA85" i="5"/>
  <c r="AB85" i="5"/>
  <c r="AA280" i="5"/>
  <c r="AB280" i="5"/>
  <c r="AA493" i="5"/>
  <c r="AB493" i="5"/>
  <c r="AA198" i="5"/>
  <c r="AB198" i="5"/>
  <c r="AB296" i="5"/>
  <c r="AA296" i="5"/>
  <c r="AA533" i="5"/>
  <c r="AB533" i="5"/>
  <c r="AB313" i="5"/>
  <c r="AA313" i="5"/>
  <c r="AB386" i="5"/>
  <c r="AA386" i="5"/>
  <c r="AB482" i="5"/>
  <c r="AA482" i="5"/>
  <c r="AA399" i="5"/>
  <c r="AB399" i="5"/>
  <c r="AA275" i="5"/>
  <c r="AB275" i="5"/>
  <c r="AB306" i="5"/>
  <c r="AA306" i="5"/>
  <c r="AB412" i="5"/>
  <c r="AA412" i="5"/>
  <c r="AA152" i="5"/>
  <c r="AB152" i="5"/>
  <c r="AB262" i="5"/>
  <c r="AA262" i="5"/>
  <c r="AB368" i="5"/>
  <c r="AA368" i="5"/>
  <c r="AA332" i="5"/>
  <c r="AB332" i="5"/>
  <c r="AB141" i="5"/>
  <c r="AA141" i="5"/>
  <c r="AA50" i="5"/>
  <c r="AB50" i="5"/>
  <c r="AA422" i="5"/>
  <c r="AB422" i="5"/>
  <c r="AB269" i="5"/>
  <c r="AA269" i="5"/>
  <c r="AB324" i="5"/>
  <c r="AA324" i="5"/>
  <c r="AB229" i="5"/>
  <c r="AA229" i="5"/>
  <c r="AA446" i="5"/>
  <c r="AB446" i="5"/>
  <c r="AB347" i="5"/>
  <c r="AA347" i="5"/>
  <c r="AB515" i="5"/>
  <c r="AA515" i="5"/>
  <c r="AA139" i="5"/>
  <c r="AB139" i="5"/>
  <c r="AA39" i="5"/>
  <c r="AB39" i="5"/>
  <c r="AB87" i="5"/>
  <c r="AA87" i="5"/>
  <c r="AB122" i="5"/>
  <c r="AA122" i="5"/>
  <c r="AB33" i="5"/>
  <c r="AA33" i="5"/>
  <c r="AB467" i="5"/>
  <c r="AA467" i="5"/>
  <c r="AB393" i="5"/>
  <c r="AA393" i="5"/>
  <c r="AB206" i="5"/>
  <c r="AA206" i="5"/>
  <c r="AB199" i="5"/>
  <c r="AA199" i="5"/>
  <c r="AA525" i="5"/>
  <c r="AB525" i="5"/>
  <c r="AB148" i="5"/>
  <c r="AA148" i="5"/>
  <c r="AA511" i="5"/>
  <c r="AB511" i="5"/>
  <c r="AB203" i="5"/>
  <c r="AA203" i="5"/>
  <c r="AA455" i="5"/>
  <c r="AB455" i="5"/>
  <c r="AA308" i="5"/>
  <c r="AB308" i="5"/>
  <c r="AA252" i="5"/>
  <c r="AB252" i="5"/>
  <c r="B13" i="2" l="1"/>
  <c r="B31" i="5" l="1"/>
  <c r="O10" i="5" s="1"/>
  <c r="B70" i="2"/>
  <c r="B71" i="2" s="1"/>
  <c r="B54" i="2"/>
  <c r="B55" i="2" s="1"/>
  <c r="B62" i="2"/>
  <c r="B20" i="5"/>
  <c r="B14" i="2"/>
  <c r="B156" i="2"/>
  <c r="B162" i="2" s="1"/>
  <c r="B42" i="2"/>
  <c r="B168" i="2"/>
  <c r="B57" i="2"/>
  <c r="B70" i="5"/>
  <c r="O12" i="4"/>
  <c r="B248" i="2"/>
  <c r="B17" i="5"/>
  <c r="B197" i="2"/>
  <c r="B198" i="2" s="1"/>
  <c r="B206" i="2" s="1"/>
  <c r="B117" i="2"/>
  <c r="H41" i="1" s="1"/>
  <c r="B15" i="2"/>
  <c r="H15" i="1" s="1"/>
  <c r="B42" i="5"/>
  <c r="B65" i="2"/>
  <c r="B73" i="2"/>
  <c r="B35" i="2"/>
  <c r="B36" i="2" s="1"/>
  <c r="B45" i="2" s="1"/>
  <c r="H22" i="1" s="1"/>
  <c r="B40" i="2"/>
  <c r="B107" i="2"/>
  <c r="B266" i="2"/>
  <c r="B43" i="2" l="1"/>
  <c r="B104" i="2"/>
  <c r="B105" i="2" s="1"/>
  <c r="B63" i="2"/>
  <c r="K93" i="2"/>
  <c r="B204" i="2"/>
  <c r="B201" i="2"/>
  <c r="B202" i="2" s="1"/>
  <c r="B56" i="2"/>
  <c r="B94" i="2"/>
  <c r="B83" i="2"/>
  <c r="B58" i="2"/>
  <c r="B109" i="2" s="1"/>
  <c r="B196" i="2"/>
  <c r="B72" i="2"/>
  <c r="B95" i="2"/>
  <c r="B74" i="2"/>
  <c r="B75" i="2" s="1"/>
  <c r="AW10" i="5"/>
  <c r="AZ10" i="5"/>
  <c r="AT10" i="5"/>
  <c r="T10" i="5"/>
  <c r="AJ10" i="5"/>
  <c r="Z10" i="5"/>
  <c r="B43" i="5"/>
  <c r="W231" i="5"/>
  <c r="W249" i="5"/>
  <c r="W400" i="5"/>
  <c r="W436" i="5"/>
  <c r="W148" i="5"/>
  <c r="W20" i="5"/>
  <c r="W376" i="5"/>
  <c r="W410" i="5"/>
  <c r="W499" i="5"/>
  <c r="W109" i="5"/>
  <c r="W501" i="5"/>
  <c r="W262" i="5"/>
  <c r="W416" i="5"/>
  <c r="W83" i="5"/>
  <c r="W23" i="5"/>
  <c r="W511" i="5"/>
  <c r="W168" i="5"/>
  <c r="W317" i="5"/>
  <c r="W151" i="5"/>
  <c r="W212" i="5"/>
  <c r="W229" i="5"/>
  <c r="W541" i="5"/>
  <c r="W388" i="5"/>
  <c r="W305" i="5"/>
  <c r="W466" i="5"/>
  <c r="W381" i="5"/>
  <c r="W343" i="5"/>
  <c r="W239" i="5"/>
  <c r="W89" i="5"/>
  <c r="W115" i="5"/>
  <c r="W187" i="5"/>
  <c r="W497" i="5"/>
  <c r="W140" i="5"/>
  <c r="W253" i="5"/>
  <c r="W179" i="5"/>
  <c r="W207" i="5"/>
  <c r="W379" i="5"/>
  <c r="W217" i="5"/>
  <c r="W10" i="5"/>
  <c r="W293" i="5"/>
  <c r="W413" i="5"/>
  <c r="W415" i="5"/>
  <c r="W418" i="5"/>
  <c r="W297" i="5"/>
  <c r="W160" i="5"/>
  <c r="W110" i="5"/>
  <c r="W180" i="5"/>
  <c r="W144" i="5"/>
  <c r="W339" i="5"/>
  <c r="W36" i="5"/>
  <c r="W480" i="5"/>
  <c r="W42" i="5"/>
  <c r="W311" i="5"/>
  <c r="W198" i="5"/>
  <c r="W101" i="5"/>
  <c r="W422" i="5"/>
  <c r="W485" i="5"/>
  <c r="W30" i="5"/>
  <c r="W19" i="5"/>
  <c r="W552" i="5"/>
  <c r="W348" i="5"/>
  <c r="W166" i="5"/>
  <c r="W215" i="5"/>
  <c r="W414" i="5"/>
  <c r="W246" i="5"/>
  <c r="W121" i="5"/>
  <c r="W368" i="5"/>
  <c r="W84" i="5"/>
  <c r="W200" i="5"/>
  <c r="W393" i="5"/>
  <c r="W173" i="5"/>
  <c r="W443" i="5"/>
  <c r="W74" i="5"/>
  <c r="W296" i="5"/>
  <c r="W267" i="5"/>
  <c r="W133" i="5"/>
  <c r="W334" i="5"/>
  <c r="W25" i="5"/>
  <c r="W165" i="5"/>
  <c r="W142" i="5"/>
  <c r="W437" i="5"/>
  <c r="W295" i="5"/>
  <c r="W369" i="5"/>
  <c r="W278" i="5"/>
  <c r="W92" i="5"/>
  <c r="W482" i="5"/>
  <c r="W105" i="5"/>
  <c r="W351" i="5"/>
  <c r="W208" i="5"/>
  <c r="W507" i="5"/>
  <c r="W233" i="5"/>
  <c r="W438" i="5"/>
  <c r="W221" i="5"/>
  <c r="W395" i="5"/>
  <c r="W98" i="5"/>
  <c r="W52" i="5"/>
  <c r="W269" i="5"/>
  <c r="W209" i="5"/>
  <c r="W122" i="5"/>
  <c r="W540" i="5"/>
  <c r="W145" i="5"/>
  <c r="W440" i="5"/>
  <c r="W237" i="5"/>
  <c r="W314" i="5"/>
  <c r="W301" i="5"/>
  <c r="W352" i="5"/>
  <c r="W548" i="5"/>
  <c r="W412" i="5"/>
  <c r="W177" i="5"/>
  <c r="W248" i="5"/>
  <c r="W93" i="5"/>
  <c r="W327" i="5"/>
  <c r="W34" i="5"/>
  <c r="W555" i="5"/>
  <c r="W522" i="5"/>
  <c r="W409" i="5"/>
  <c r="W199" i="5"/>
  <c r="W335" i="5"/>
  <c r="W329" i="5"/>
  <c r="W473" i="5"/>
  <c r="W312" i="5"/>
  <c r="W238" i="5"/>
  <c r="W150" i="5"/>
  <c r="W380" i="5"/>
  <c r="W322" i="5"/>
  <c r="W331" i="5"/>
  <c r="W255" i="5"/>
  <c r="W474" i="5"/>
  <c r="W29" i="5"/>
  <c r="W556" i="5"/>
  <c r="W386" i="5"/>
  <c r="W375" i="5"/>
  <c r="W471" i="5"/>
  <c r="W80" i="5"/>
  <c r="W515" i="5"/>
  <c r="W87" i="5"/>
  <c r="W472" i="5"/>
  <c r="W496" i="5"/>
  <c r="W226" i="5"/>
  <c r="W508" i="5"/>
  <c r="W408" i="5"/>
  <c r="W65" i="5"/>
  <c r="W519" i="5"/>
  <c r="W182" i="5"/>
  <c r="W542" i="5"/>
  <c r="W433" i="5"/>
  <c r="W28" i="5"/>
  <c r="W154" i="5"/>
  <c r="W38" i="5"/>
  <c r="W242" i="5"/>
  <c r="W169" i="5"/>
  <c r="W90" i="5"/>
  <c r="W68" i="5"/>
  <c r="W271" i="5"/>
  <c r="W40" i="5"/>
  <c r="W423" i="5"/>
  <c r="W385" i="5"/>
  <c r="W315" i="5"/>
  <c r="W323" i="5"/>
  <c r="W453" i="5"/>
  <c r="W359" i="5"/>
  <c r="W69" i="5"/>
  <c r="W94" i="5"/>
  <c r="W537" i="5"/>
  <c r="W491" i="5"/>
  <c r="W70" i="5"/>
  <c r="W425" i="5"/>
  <c r="W158" i="5"/>
  <c r="W178" i="5"/>
  <c r="W476" i="5"/>
  <c r="W203" i="5"/>
  <c r="W44" i="5"/>
  <c r="W294" i="5"/>
  <c r="W60" i="5"/>
  <c r="W131" i="5"/>
  <c r="W454" i="5"/>
  <c r="W75" i="5"/>
  <c r="W426" i="5"/>
  <c r="W172" i="5"/>
  <c r="W256" i="5"/>
  <c r="W326" i="5"/>
  <c r="W553" i="5"/>
  <c r="W447" i="5"/>
  <c r="W434" i="5"/>
  <c r="W467" i="5"/>
  <c r="W37" i="5"/>
  <c r="W464" i="5"/>
  <c r="W358" i="5"/>
  <c r="W228" i="5"/>
  <c r="W300" i="5"/>
  <c r="W407" i="5"/>
  <c r="W486" i="5"/>
  <c r="W350" i="5"/>
  <c r="W549" i="5"/>
  <c r="W536" i="5"/>
  <c r="W117" i="5"/>
  <c r="W390" i="5"/>
  <c r="W214" i="5"/>
  <c r="W399" i="5"/>
  <c r="W371" i="5"/>
  <c r="W273" i="5"/>
  <c r="W492" i="5"/>
  <c r="W532" i="5"/>
  <c r="W204" i="5"/>
  <c r="W136" i="5"/>
  <c r="W243" i="5"/>
  <c r="W95" i="5"/>
  <c r="W216" i="5"/>
  <c r="W282" i="5"/>
  <c r="W302" i="5"/>
  <c r="W279" i="5"/>
  <c r="W31" i="5"/>
  <c r="W543" i="5"/>
  <c r="W106" i="5"/>
  <c r="W251" i="5"/>
  <c r="W245" i="5"/>
  <c r="W506" i="5"/>
  <c r="W505" i="5"/>
  <c r="W502" i="5"/>
  <c r="W235" i="5"/>
  <c r="W62" i="5"/>
  <c r="W224" i="5"/>
  <c r="W487" i="5"/>
  <c r="W47" i="5"/>
  <c r="W382" i="5"/>
  <c r="W220" i="5"/>
  <c r="W35" i="5"/>
  <c r="W420" i="5"/>
  <c r="W266" i="5"/>
  <c r="W394" i="5"/>
  <c r="W364" i="5"/>
  <c r="W435" i="5"/>
  <c r="W164" i="5"/>
  <c r="W114" i="5"/>
  <c r="W392" i="5"/>
  <c r="W465" i="5"/>
  <c r="W59" i="5"/>
  <c r="W349" i="5"/>
  <c r="W211" i="5"/>
  <c r="W167" i="5"/>
  <c r="W138" i="5"/>
  <c r="W504" i="5"/>
  <c r="W257" i="5"/>
  <c r="W247" i="5"/>
  <c r="W517" i="5"/>
  <c r="W461" i="5"/>
  <c r="W360" i="5"/>
  <c r="W64" i="5"/>
  <c r="W123" i="5"/>
  <c r="W298" i="5"/>
  <c r="W141" i="5"/>
  <c r="W307" i="5"/>
  <c r="W325" i="5"/>
  <c r="W452" i="5"/>
  <c r="W32" i="5"/>
  <c r="W442" i="5"/>
  <c r="W469" i="5"/>
  <c r="W196" i="5"/>
  <c r="W367" i="5"/>
  <c r="W459" i="5"/>
  <c r="W421" i="5"/>
  <c r="W281" i="5"/>
  <c r="W355" i="5"/>
  <c r="W85" i="5"/>
  <c r="W139" i="5"/>
  <c r="W76" i="5"/>
  <c r="W526" i="5"/>
  <c r="W309" i="5"/>
  <c r="W468" i="5"/>
  <c r="W191" i="5"/>
  <c r="W176" i="5"/>
  <c r="W265" i="5"/>
  <c r="W374" i="5"/>
  <c r="W332" i="5"/>
  <c r="W272" i="5"/>
  <c r="W346" i="5"/>
  <c r="W67" i="5"/>
  <c r="W481" i="5"/>
  <c r="W450" i="5"/>
  <c r="W488" i="5"/>
  <c r="W189" i="5"/>
  <c r="W119" i="5"/>
  <c r="W197" i="5"/>
  <c r="W304" i="5"/>
  <c r="W299" i="5"/>
  <c r="W558" i="5"/>
  <c r="W268" i="5"/>
  <c r="W88" i="5"/>
  <c r="W523" i="5"/>
  <c r="W503" i="5"/>
  <c r="W303" i="5"/>
  <c r="W403" i="5"/>
  <c r="W475" i="5"/>
  <c r="W157" i="5"/>
  <c r="W50" i="5"/>
  <c r="W71" i="5"/>
  <c r="W56" i="5"/>
  <c r="W338" i="5"/>
  <c r="W186" i="5"/>
  <c r="W125" i="5"/>
  <c r="W354" i="5"/>
  <c r="W545" i="5"/>
  <c r="W111" i="5"/>
  <c r="W306" i="5"/>
  <c r="W33" i="5"/>
  <c r="W223" i="5"/>
  <c r="W534" i="5"/>
  <c r="W328" i="5"/>
  <c r="W82" i="5"/>
  <c r="W455" i="5"/>
  <c r="W49" i="5"/>
  <c r="W366" i="5"/>
  <c r="W183" i="5"/>
  <c r="W318" i="5"/>
  <c r="W533" i="5"/>
  <c r="W39" i="5"/>
  <c r="W495" i="5"/>
  <c r="W361" i="5"/>
  <c r="W402" i="5"/>
  <c r="W73" i="5"/>
  <c r="W405" i="5"/>
  <c r="W554" i="5"/>
  <c r="W58" i="5"/>
  <c r="W21" i="5"/>
  <c r="W97" i="5"/>
  <c r="W149" i="5"/>
  <c r="W347" i="5"/>
  <c r="W383" i="5"/>
  <c r="W451" i="5"/>
  <c r="W518" i="5"/>
  <c r="W406" i="5"/>
  <c r="W557" i="5"/>
  <c r="W462" i="5"/>
  <c r="W330" i="5"/>
  <c r="W100" i="5"/>
  <c r="W477" i="5"/>
  <c r="W108" i="5"/>
  <c r="W241" i="5"/>
  <c r="W77" i="5"/>
  <c r="W286" i="5"/>
  <c r="W490" i="5"/>
  <c r="W547" i="5"/>
  <c r="W458" i="5"/>
  <c r="W377" i="5"/>
  <c r="W72" i="5"/>
  <c r="W550" i="5"/>
  <c r="W512" i="5"/>
  <c r="W146" i="5"/>
  <c r="W270" i="5"/>
  <c r="W290" i="5"/>
  <c r="W531" i="5"/>
  <c r="W86" i="5"/>
  <c r="W161" i="5"/>
  <c r="W484" i="5"/>
  <c r="W356" i="5"/>
  <c r="W45" i="5"/>
  <c r="W539" i="5"/>
  <c r="W538" i="5"/>
  <c r="W316" i="5"/>
  <c r="W171" i="5"/>
  <c r="W24" i="5"/>
  <c r="W521" i="5"/>
  <c r="W446" i="5"/>
  <c r="W320" i="5"/>
  <c r="W510" i="5"/>
  <c r="W276" i="5"/>
  <c r="W46" i="5"/>
  <c r="W353" i="5"/>
  <c r="W188" i="5"/>
  <c r="W373" i="5"/>
  <c r="W513" i="5"/>
  <c r="W130" i="5"/>
  <c r="W127" i="5"/>
  <c r="W254" i="5"/>
  <c r="W288" i="5"/>
  <c r="W365" i="5"/>
  <c r="W193" i="5"/>
  <c r="W8" i="5"/>
  <c r="W258" i="5"/>
  <c r="W184" i="5"/>
  <c r="W509" i="5"/>
  <c r="W192" i="5"/>
  <c r="W124" i="5"/>
  <c r="W259" i="5"/>
  <c r="W551" i="5"/>
  <c r="W524" i="5"/>
  <c r="W389" i="5"/>
  <c r="W274" i="5"/>
  <c r="W120" i="5"/>
  <c r="W126" i="5"/>
  <c r="W12" i="5"/>
  <c r="W319" i="5"/>
  <c r="W457" i="5"/>
  <c r="W396" i="5"/>
  <c r="W53" i="5"/>
  <c r="W205" i="5"/>
  <c r="W445" i="5"/>
  <c r="W357" i="5"/>
  <c r="W287" i="5"/>
  <c r="W341" i="5"/>
  <c r="W308" i="5"/>
  <c r="W285" i="5"/>
  <c r="W345" i="5"/>
  <c r="W283" i="5"/>
  <c r="W61" i="5"/>
  <c r="W559" i="5"/>
  <c r="W132" i="5"/>
  <c r="W498" i="5"/>
  <c r="W63" i="5"/>
  <c r="W54" i="5"/>
  <c r="W181" i="5"/>
  <c r="W419" i="5"/>
  <c r="W48" i="5"/>
  <c r="W560" i="5"/>
  <c r="W91" i="5"/>
  <c r="W155" i="5"/>
  <c r="W222" i="5"/>
  <c r="W234" i="5"/>
  <c r="W170" i="5"/>
  <c r="W516" i="5"/>
  <c r="W236" i="5"/>
  <c r="W147" i="5"/>
  <c r="W444" i="5"/>
  <c r="W493" i="5"/>
  <c r="W252" i="5"/>
  <c r="W227" i="5"/>
  <c r="W225" i="5"/>
  <c r="W143" i="5"/>
  <c r="W194" i="5"/>
  <c r="W479" i="5"/>
  <c r="W404" i="5"/>
  <c r="W372" i="5"/>
  <c r="W441" i="5"/>
  <c r="W41" i="5"/>
  <c r="W213" i="5"/>
  <c r="W280" i="5"/>
  <c r="W162" i="5"/>
  <c r="W128" i="5"/>
  <c r="W107" i="5"/>
  <c r="W275" i="5"/>
  <c r="W134" i="5"/>
  <c r="W201" i="5"/>
  <c r="W514" i="5"/>
  <c r="W546" i="5"/>
  <c r="W470" i="5"/>
  <c r="W277" i="5"/>
  <c r="W289" i="5"/>
  <c r="W378" i="5"/>
  <c r="W432" i="5"/>
  <c r="W99" i="5"/>
  <c r="W51" i="5"/>
  <c r="W118" i="5"/>
  <c r="W78" i="5"/>
  <c r="W324" i="5"/>
  <c r="W460" i="5"/>
  <c r="W219" i="5"/>
  <c r="W313" i="5"/>
  <c r="W113" i="5"/>
  <c r="W363" i="5"/>
  <c r="W195" i="5"/>
  <c r="W528" i="5"/>
  <c r="W57" i="5"/>
  <c r="W103" i="5"/>
  <c r="W337" i="5"/>
  <c r="W244" i="5"/>
  <c r="W163" i="5"/>
  <c r="W439" i="5"/>
  <c r="W384" i="5"/>
  <c r="W342" i="5"/>
  <c r="W529" i="5"/>
  <c r="W431" i="5"/>
  <c r="W417" i="5"/>
  <c r="W478" i="5"/>
  <c r="W260" i="5"/>
  <c r="W261" i="5"/>
  <c r="W210" i="5"/>
  <c r="W153" i="5"/>
  <c r="W291" i="5"/>
  <c r="W500" i="5"/>
  <c r="W55" i="5"/>
  <c r="W530" i="5"/>
  <c r="W430" i="5"/>
  <c r="W232" i="5"/>
  <c r="W520" i="5"/>
  <c r="W240" i="5"/>
  <c r="W174" i="5"/>
  <c r="W340" i="5"/>
  <c r="W190" i="5"/>
  <c r="W387" i="5"/>
  <c r="W43" i="5"/>
  <c r="W250" i="5"/>
  <c r="W27" i="5"/>
  <c r="W401" i="5"/>
  <c r="O9" i="5"/>
  <c r="W333" i="5"/>
  <c r="W81" i="5"/>
  <c r="W427" i="5"/>
  <c r="W292" i="5"/>
  <c r="W456" i="5"/>
  <c r="W397" i="5"/>
  <c r="W129" i="5"/>
  <c r="W230" i="5"/>
  <c r="W489" i="5"/>
  <c r="W66" i="5"/>
  <c r="W362" i="5"/>
  <c r="W535" i="5"/>
  <c r="W424" i="5"/>
  <c r="W483" i="5"/>
  <c r="W391" i="5"/>
  <c r="W104" i="5"/>
  <c r="W22" i="5"/>
  <c r="W398" i="5"/>
  <c r="W159" i="5"/>
  <c r="W218" i="5"/>
  <c r="W202" i="5"/>
  <c r="W544" i="5"/>
  <c r="W429" i="5"/>
  <c r="W137" i="5"/>
  <c r="W449" i="5"/>
  <c r="W116" i="5"/>
  <c r="W96" i="5"/>
  <c r="W206" i="5"/>
  <c r="W264" i="5"/>
  <c r="W411" i="5"/>
  <c r="W102" i="5"/>
  <c r="W152" i="5"/>
  <c r="W525" i="5"/>
  <c r="W527" i="5"/>
  <c r="W284" i="5"/>
  <c r="W13" i="5"/>
  <c r="W336" i="5"/>
  <c r="W112" i="5"/>
  <c r="W321" i="5"/>
  <c r="W370" i="5"/>
  <c r="W310" i="5"/>
  <c r="W156" i="5"/>
  <c r="W263" i="5"/>
  <c r="W463" i="5"/>
  <c r="W428" i="5"/>
  <c r="W175" i="5"/>
  <c r="W79" i="5"/>
  <c r="W494" i="5"/>
  <c r="W448" i="5"/>
  <c r="W135" i="5"/>
  <c r="W26" i="5"/>
  <c r="W344" i="5"/>
  <c r="W185" i="5"/>
  <c r="B211" i="2"/>
  <c r="B216" i="2" s="1"/>
  <c r="B77" i="5"/>
  <c r="B72" i="5"/>
  <c r="B160" i="2"/>
  <c r="P7" i="5" s="1"/>
  <c r="B36" i="5"/>
  <c r="B73" i="5"/>
  <c r="B112" i="2"/>
  <c r="S21" i="4"/>
  <c r="V21" i="4" s="1"/>
  <c r="S61" i="4"/>
  <c r="V61" i="4" s="1"/>
  <c r="S142" i="4"/>
  <c r="V142" i="4" s="1"/>
  <c r="S9" i="4"/>
  <c r="V9" i="4" s="1"/>
  <c r="S12" i="4"/>
  <c r="V12" i="4" s="1"/>
  <c r="S154" i="4"/>
  <c r="V154" i="4" s="1"/>
  <c r="S80" i="4"/>
  <c r="V80" i="4" s="1"/>
  <c r="S25" i="4"/>
  <c r="V25" i="4" s="1"/>
  <c r="S103" i="4"/>
  <c r="V103" i="4" s="1"/>
  <c r="S67" i="4"/>
  <c r="V67" i="4" s="1"/>
  <c r="S150" i="4"/>
  <c r="V150" i="4" s="1"/>
  <c r="S39" i="4"/>
  <c r="V39" i="4" s="1"/>
  <c r="S71" i="4"/>
  <c r="V71" i="4" s="1"/>
  <c r="S36" i="4"/>
  <c r="V36" i="4" s="1"/>
  <c r="S54" i="4"/>
  <c r="V54" i="4" s="1"/>
  <c r="S95" i="4"/>
  <c r="V95" i="4" s="1"/>
  <c r="S19" i="4"/>
  <c r="V19" i="4" s="1"/>
  <c r="S141" i="4"/>
  <c r="V141" i="4" s="1"/>
  <c r="S57" i="4"/>
  <c r="V57" i="4" s="1"/>
  <c r="S108" i="4"/>
  <c r="V108" i="4" s="1"/>
  <c r="S49" i="4"/>
  <c r="V49" i="4" s="1"/>
  <c r="S143" i="4"/>
  <c r="V143" i="4" s="1"/>
  <c r="S138" i="4"/>
  <c r="V138" i="4" s="1"/>
  <c r="S62" i="4"/>
  <c r="V62" i="4" s="1"/>
  <c r="S111" i="4"/>
  <c r="V111" i="4" s="1"/>
  <c r="S31" i="4"/>
  <c r="V31" i="4" s="1"/>
  <c r="S70" i="4"/>
  <c r="V70" i="4" s="1"/>
  <c r="S102" i="4"/>
  <c r="V102" i="4" s="1"/>
  <c r="S157" i="4"/>
  <c r="V157" i="4" s="1"/>
  <c r="S14" i="4"/>
  <c r="V14" i="4" s="1"/>
  <c r="S51" i="4"/>
  <c r="V51" i="4" s="1"/>
  <c r="S28" i="4"/>
  <c r="V28" i="4" s="1"/>
  <c r="S13" i="4"/>
  <c r="V13" i="4" s="1"/>
  <c r="S33" i="4"/>
  <c r="V33" i="4" s="1"/>
  <c r="S148" i="4"/>
  <c r="V148" i="4" s="1"/>
  <c r="S46" i="4"/>
  <c r="V46" i="4" s="1"/>
  <c r="S155" i="4"/>
  <c r="V155" i="4" s="1"/>
  <c r="S52" i="4"/>
  <c r="V52" i="4" s="1"/>
  <c r="S10" i="4"/>
  <c r="V10" i="4" s="1"/>
  <c r="S56" i="4"/>
  <c r="V56" i="4" s="1"/>
  <c r="S92" i="4"/>
  <c r="V92" i="4" s="1"/>
  <c r="S145" i="4"/>
  <c r="V145" i="4" s="1"/>
  <c r="S84" i="4"/>
  <c r="V84" i="4" s="1"/>
  <c r="S50" i="4"/>
  <c r="V50" i="4" s="1"/>
  <c r="S73" i="4"/>
  <c r="V73" i="4" s="1"/>
  <c r="S101" i="4"/>
  <c r="V101" i="4" s="1"/>
  <c r="S24" i="4"/>
  <c r="V24" i="4" s="1"/>
  <c r="S68" i="4"/>
  <c r="V68" i="4" s="1"/>
  <c r="S133" i="4"/>
  <c r="V133" i="4" s="1"/>
  <c r="S117" i="4"/>
  <c r="V117" i="4" s="1"/>
  <c r="S144" i="4"/>
  <c r="V144" i="4" s="1"/>
  <c r="S96" i="4"/>
  <c r="V96" i="4" s="1"/>
  <c r="S152" i="4"/>
  <c r="V152" i="4" s="1"/>
  <c r="S44" i="4"/>
  <c r="V44" i="4" s="1"/>
  <c r="S35" i="4"/>
  <c r="V35" i="4" s="1"/>
  <c r="S37" i="4"/>
  <c r="V37" i="4" s="1"/>
  <c r="S38" i="4"/>
  <c r="V38" i="4" s="1"/>
  <c r="S17" i="4"/>
  <c r="V17" i="4" s="1"/>
  <c r="S128" i="4"/>
  <c r="V128" i="4" s="1"/>
  <c r="S48" i="4"/>
  <c r="V48" i="4" s="1"/>
  <c r="S124" i="4"/>
  <c r="V124" i="4" s="1"/>
  <c r="S93" i="4"/>
  <c r="V93" i="4" s="1"/>
  <c r="S118" i="4"/>
  <c r="V118" i="4" s="1"/>
  <c r="S41" i="4"/>
  <c r="V41" i="4" s="1"/>
  <c r="S75" i="4"/>
  <c r="V75" i="4" s="1"/>
  <c r="S7" i="4"/>
  <c r="V7" i="4" s="1"/>
  <c r="S106" i="4"/>
  <c r="V106" i="4" s="1"/>
  <c r="S83" i="4"/>
  <c r="V83" i="4" s="1"/>
  <c r="S26" i="4"/>
  <c r="V26" i="4" s="1"/>
  <c r="S30" i="4"/>
  <c r="V30" i="4" s="1"/>
  <c r="S97" i="4"/>
  <c r="V97" i="4" s="1"/>
  <c r="S76" i="4"/>
  <c r="V76" i="4" s="1"/>
  <c r="S127" i="4"/>
  <c r="V127" i="4" s="1"/>
  <c r="S132" i="4"/>
  <c r="V132" i="4" s="1"/>
  <c r="S88" i="4"/>
  <c r="V88" i="4" s="1"/>
  <c r="S34" i="4"/>
  <c r="V34" i="4" s="1"/>
  <c r="S110" i="4"/>
  <c r="V110" i="4" s="1"/>
  <c r="S59" i="4"/>
  <c r="V59" i="4" s="1"/>
  <c r="S114" i="4"/>
  <c r="V114" i="4" s="1"/>
  <c r="S53" i="4"/>
  <c r="V53" i="4" s="1"/>
  <c r="S18" i="4"/>
  <c r="V18" i="4" s="1"/>
  <c r="S42" i="4"/>
  <c r="V42" i="4" s="1"/>
  <c r="S140" i="4"/>
  <c r="V140" i="4" s="1"/>
  <c r="S113" i="4"/>
  <c r="V113" i="4" s="1"/>
  <c r="S123" i="4"/>
  <c r="V123" i="4" s="1"/>
  <c r="S15" i="4"/>
  <c r="V15" i="4" s="1"/>
  <c r="S69" i="4"/>
  <c r="V69" i="4" s="1"/>
  <c r="S87" i="4"/>
  <c r="V87" i="4" s="1"/>
  <c r="S156" i="4"/>
  <c r="V156" i="4" s="1"/>
  <c r="S94" i="4"/>
  <c r="V94" i="4" s="1"/>
  <c r="S20" i="4"/>
  <c r="V20" i="4" s="1"/>
  <c r="S109" i="4"/>
  <c r="V109" i="4" s="1"/>
  <c r="S60" i="4"/>
  <c r="V60" i="4" s="1"/>
  <c r="S86" i="4"/>
  <c r="V86" i="4" s="1"/>
  <c r="S27" i="4"/>
  <c r="V27" i="4" s="1"/>
  <c r="S91" i="4"/>
  <c r="V91" i="4" s="1"/>
  <c r="S77" i="4"/>
  <c r="V77" i="4" s="1"/>
  <c r="S8" i="4"/>
  <c r="V8" i="4" s="1"/>
  <c r="S135" i="4"/>
  <c r="V135" i="4" s="1"/>
  <c r="S136" i="4"/>
  <c r="V136" i="4" s="1"/>
  <c r="S58" i="4"/>
  <c r="V58" i="4" s="1"/>
  <c r="S120" i="4"/>
  <c r="V120" i="4" s="1"/>
  <c r="S47" i="4"/>
  <c r="V47" i="4" s="1"/>
  <c r="S151" i="4"/>
  <c r="V151" i="4" s="1"/>
  <c r="S40" i="4"/>
  <c r="V40" i="4" s="1"/>
  <c r="S32" i="4"/>
  <c r="V32" i="4" s="1"/>
  <c r="S55" i="4"/>
  <c r="V55" i="4" s="1"/>
  <c r="S89" i="4"/>
  <c r="V89" i="4" s="1"/>
  <c r="S153" i="4"/>
  <c r="V153" i="4" s="1"/>
  <c r="S121" i="4"/>
  <c r="V121" i="4" s="1"/>
  <c r="S104" i="4"/>
  <c r="V104" i="4" s="1"/>
  <c r="S129" i="4"/>
  <c r="V129" i="4" s="1"/>
  <c r="S22" i="4"/>
  <c r="V22" i="4" s="1"/>
  <c r="S90" i="4"/>
  <c r="V90" i="4" s="1"/>
  <c r="S105" i="4"/>
  <c r="V105" i="4" s="1"/>
  <c r="S122" i="4"/>
  <c r="V122" i="4" s="1"/>
  <c r="S149" i="4"/>
  <c r="V149" i="4" s="1"/>
  <c r="S147" i="4"/>
  <c r="V147" i="4" s="1"/>
  <c r="S78" i="4"/>
  <c r="V78" i="4" s="1"/>
  <c r="S98" i="4"/>
  <c r="V98" i="4" s="1"/>
  <c r="S125" i="4"/>
  <c r="V125" i="4" s="1"/>
  <c r="S72" i="4"/>
  <c r="V72" i="4" s="1"/>
  <c r="S16" i="4"/>
  <c r="V16" i="4" s="1"/>
  <c r="S29" i="4"/>
  <c r="V29" i="4" s="1"/>
  <c r="S66" i="4"/>
  <c r="V66" i="4" s="1"/>
  <c r="S126" i="4"/>
  <c r="V126" i="4" s="1"/>
  <c r="S82" i="4"/>
  <c r="V82" i="4" s="1"/>
  <c r="S64" i="4"/>
  <c r="V64" i="4" s="1"/>
  <c r="S115" i="4"/>
  <c r="V115" i="4" s="1"/>
  <c r="S45" i="4"/>
  <c r="V45" i="4" s="1"/>
  <c r="S130" i="4"/>
  <c r="V130" i="4" s="1"/>
  <c r="S99" i="4"/>
  <c r="V99" i="4" s="1"/>
  <c r="S23" i="4"/>
  <c r="V23" i="4" s="1"/>
  <c r="S116" i="4"/>
  <c r="V116" i="4" s="1"/>
  <c r="S139" i="4"/>
  <c r="V139" i="4" s="1"/>
  <c r="S146" i="4"/>
  <c r="V146" i="4" s="1"/>
  <c r="S134" i="4"/>
  <c r="V134" i="4" s="1"/>
  <c r="S81" i="4"/>
  <c r="V81" i="4" s="1"/>
  <c r="S43" i="4"/>
  <c r="V43" i="4" s="1"/>
  <c r="S79" i="4"/>
  <c r="V79" i="4" s="1"/>
  <c r="S112" i="4"/>
  <c r="V112" i="4" s="1"/>
  <c r="S137" i="4"/>
  <c r="V137" i="4" s="1"/>
  <c r="S100" i="4"/>
  <c r="V100" i="4" s="1"/>
  <c r="S65" i="4"/>
  <c r="V65" i="4" s="1"/>
  <c r="S11" i="4"/>
  <c r="V11" i="4" s="1"/>
  <c r="S107" i="4"/>
  <c r="V107" i="4" s="1"/>
  <c r="S119" i="4"/>
  <c r="V119" i="4" s="1"/>
  <c r="S85" i="4"/>
  <c r="V85" i="4" s="1"/>
  <c r="S131" i="4"/>
  <c r="V131" i="4" s="1"/>
  <c r="S74" i="4"/>
  <c r="V74" i="4" s="1"/>
  <c r="S63" i="4"/>
  <c r="V63" i="4" s="1"/>
  <c r="B268" i="2"/>
  <c r="B267" i="2"/>
  <c r="B249" i="2"/>
  <c r="B250" i="2"/>
  <c r="B169" i="2"/>
  <c r="W7" i="5"/>
  <c r="Q7" i="5"/>
  <c r="B163" i="2"/>
  <c r="B181" i="2" s="1"/>
  <c r="B80" i="2" l="1"/>
  <c r="B108" i="2"/>
  <c r="H36" i="1" s="1"/>
  <c r="B59" i="2"/>
  <c r="H25" i="1" s="1"/>
  <c r="W79" i="4"/>
  <c r="AM79" i="4"/>
  <c r="W64" i="4"/>
  <c r="Y64" i="4" s="1"/>
  <c r="AR64" i="4" s="1"/>
  <c r="AM64" i="4"/>
  <c r="AM122" i="4"/>
  <c r="W122" i="4"/>
  <c r="AM151" i="4"/>
  <c r="W151" i="4"/>
  <c r="W109" i="4"/>
  <c r="AM109" i="4"/>
  <c r="W53" i="4"/>
  <c r="Y53" i="4" s="1"/>
  <c r="AR53" i="4" s="1"/>
  <c r="AM53" i="4"/>
  <c r="AM83" i="4"/>
  <c r="W83" i="4"/>
  <c r="Y83" i="4" s="1"/>
  <c r="AR83" i="4" s="1"/>
  <c r="W37" i="4"/>
  <c r="Y37" i="4" s="1"/>
  <c r="AR37" i="4" s="1"/>
  <c r="AM37" i="4"/>
  <c r="W50" i="4"/>
  <c r="Y50" i="4" s="1"/>
  <c r="AR50" i="4" s="1"/>
  <c r="AM50" i="4"/>
  <c r="AM28" i="4"/>
  <c r="W28" i="4"/>
  <c r="Y28" i="4" s="1"/>
  <c r="AR28" i="4" s="1"/>
  <c r="W108" i="4"/>
  <c r="AM108" i="4"/>
  <c r="W25" i="4"/>
  <c r="Y25" i="4" s="1"/>
  <c r="AR25" i="4" s="1"/>
  <c r="AM25" i="4"/>
  <c r="W63" i="4"/>
  <c r="AM63" i="4"/>
  <c r="AM119" i="4"/>
  <c r="W119" i="4"/>
  <c r="Y119" i="4" s="1"/>
  <c r="AR119" i="4" s="1"/>
  <c r="AM139" i="4"/>
  <c r="W139" i="4"/>
  <c r="Y139" i="4" s="1"/>
  <c r="AR139" i="4" s="1"/>
  <c r="W16" i="4"/>
  <c r="Y16" i="4" s="1"/>
  <c r="AR16" i="4" s="1"/>
  <c r="AM16" i="4"/>
  <c r="W104" i="4"/>
  <c r="Y104" i="4" s="1"/>
  <c r="AR104" i="4" s="1"/>
  <c r="AM104" i="4"/>
  <c r="AM135" i="4"/>
  <c r="W135" i="4"/>
  <c r="AM69" i="4"/>
  <c r="W69" i="4"/>
  <c r="W88" i="4"/>
  <c r="Y88" i="4" s="1"/>
  <c r="AR88" i="4" s="1"/>
  <c r="AM88" i="4"/>
  <c r="AM97" i="4"/>
  <c r="W97" i="4"/>
  <c r="AM128" i="4"/>
  <c r="W128" i="4"/>
  <c r="W24" i="4"/>
  <c r="Y24" i="4" s="1"/>
  <c r="AR24" i="4" s="1"/>
  <c r="AM24" i="4"/>
  <c r="AM148" i="4"/>
  <c r="W148" i="4"/>
  <c r="W138" i="4"/>
  <c r="Y138" i="4" s="1"/>
  <c r="AR138" i="4" s="1"/>
  <c r="AM138" i="4"/>
  <c r="W150" i="4"/>
  <c r="Y150" i="4" s="1"/>
  <c r="AR150" i="4" s="1"/>
  <c r="AM150" i="4"/>
  <c r="AM80" i="4"/>
  <c r="W80" i="4"/>
  <c r="Y80" i="4" s="1"/>
  <c r="AR80" i="4" s="1"/>
  <c r="AM74" i="4"/>
  <c r="W74" i="4"/>
  <c r="W107" i="4"/>
  <c r="Y107" i="4" s="1"/>
  <c r="AR107" i="4" s="1"/>
  <c r="AM107" i="4"/>
  <c r="W137" i="4"/>
  <c r="AM137" i="4"/>
  <c r="W81" i="4"/>
  <c r="AM81" i="4"/>
  <c r="AM116" i="4"/>
  <c r="W116" i="4"/>
  <c r="AM45" i="4"/>
  <c r="W45" i="4"/>
  <c r="Y45" i="4" s="1"/>
  <c r="AR45" i="4" s="1"/>
  <c r="W126" i="4"/>
  <c r="AM126" i="4"/>
  <c r="AM72" i="4"/>
  <c r="W72" i="4"/>
  <c r="Y72" i="4" s="1"/>
  <c r="AR72" i="4" s="1"/>
  <c r="AM147" i="4"/>
  <c r="W147" i="4"/>
  <c r="Y147" i="4" s="1"/>
  <c r="AR147" i="4" s="1"/>
  <c r="AM90" i="4"/>
  <c r="W90" i="4"/>
  <c r="W121" i="4"/>
  <c r="AM121" i="4"/>
  <c r="AM32" i="4"/>
  <c r="W32" i="4"/>
  <c r="Y32" i="4" s="1"/>
  <c r="AR32" i="4" s="1"/>
  <c r="W120" i="4"/>
  <c r="Y120" i="4" s="1"/>
  <c r="AR120" i="4" s="1"/>
  <c r="AM120" i="4"/>
  <c r="W8" i="4"/>
  <c r="Y8" i="4" s="1"/>
  <c r="AR8" i="4" s="1"/>
  <c r="AM8" i="4"/>
  <c r="AM86" i="4"/>
  <c r="W86" i="4"/>
  <c r="W94" i="4"/>
  <c r="AM94" i="4"/>
  <c r="W15" i="4"/>
  <c r="Y15" i="4" s="1"/>
  <c r="AR15" i="4" s="1"/>
  <c r="AM15" i="4"/>
  <c r="AM42" i="4"/>
  <c r="W42" i="4"/>
  <c r="Y42" i="4" s="1"/>
  <c r="AR42" i="4" s="1"/>
  <c r="W59" i="4"/>
  <c r="AM59" i="4"/>
  <c r="W132" i="4"/>
  <c r="Y132" i="4" s="1"/>
  <c r="AR132" i="4" s="1"/>
  <c r="AM132" i="4"/>
  <c r="W30" i="4"/>
  <c r="Y30" i="4" s="1"/>
  <c r="AR30" i="4" s="1"/>
  <c r="AM30" i="4"/>
  <c r="AM7" i="4"/>
  <c r="W7" i="4"/>
  <c r="Y7" i="4" s="1"/>
  <c r="AR7" i="4" s="1"/>
  <c r="AM93" i="4"/>
  <c r="W93" i="4"/>
  <c r="W17" i="4"/>
  <c r="Y17" i="4" s="1"/>
  <c r="AR17" i="4" s="1"/>
  <c r="AM17" i="4"/>
  <c r="W44" i="4"/>
  <c r="Y44" i="4" s="1"/>
  <c r="AR44" i="4" s="1"/>
  <c r="AM44" i="4"/>
  <c r="AM117" i="4"/>
  <c r="W117" i="4"/>
  <c r="AM101" i="4"/>
  <c r="W101" i="4"/>
  <c r="W145" i="4"/>
  <c r="AM145" i="4"/>
  <c r="AM52" i="4"/>
  <c r="W52" i="4"/>
  <c r="Y52" i="4" s="1"/>
  <c r="AR52" i="4" s="1"/>
  <c r="AM33" i="4"/>
  <c r="W33" i="4"/>
  <c r="Y33" i="4" s="1"/>
  <c r="AR33" i="4" s="1"/>
  <c r="AM14" i="4"/>
  <c r="W14" i="4"/>
  <c r="Y14" i="4" s="1"/>
  <c r="AR14" i="4" s="1"/>
  <c r="AM31" i="4"/>
  <c r="W31" i="4"/>
  <c r="Y31" i="4" s="1"/>
  <c r="AR31" i="4" s="1"/>
  <c r="W143" i="4"/>
  <c r="AM143" i="4"/>
  <c r="W141" i="4"/>
  <c r="AM141" i="4"/>
  <c r="AM36" i="4"/>
  <c r="W36" i="4"/>
  <c r="Y36" i="4" s="1"/>
  <c r="AR36" i="4" s="1"/>
  <c r="AM67" i="4"/>
  <c r="W67" i="4"/>
  <c r="W154" i="4"/>
  <c r="AM154" i="4"/>
  <c r="W61" i="4"/>
  <c r="AM61" i="4"/>
  <c r="AA10" i="5"/>
  <c r="AB10" i="5"/>
  <c r="BA10" i="5"/>
  <c r="BB10" i="5"/>
  <c r="H32" i="1"/>
  <c r="B97" i="2"/>
  <c r="AM85" i="4"/>
  <c r="W85" i="4"/>
  <c r="AM99" i="4"/>
  <c r="W99" i="4"/>
  <c r="Y99" i="4" s="1"/>
  <c r="AR99" i="4" s="1"/>
  <c r="W29" i="4"/>
  <c r="Y29" i="4" s="1"/>
  <c r="AR29" i="4" s="1"/>
  <c r="AM29" i="4"/>
  <c r="W89" i="4"/>
  <c r="AM89" i="4"/>
  <c r="AM91" i="4"/>
  <c r="W91" i="4"/>
  <c r="Y91" i="4" s="1"/>
  <c r="AR91" i="4" s="1"/>
  <c r="W113" i="4"/>
  <c r="AM113" i="4"/>
  <c r="AM76" i="4"/>
  <c r="W76" i="4"/>
  <c r="W41" i="4"/>
  <c r="Y41" i="4" s="1"/>
  <c r="AR41" i="4" s="1"/>
  <c r="AM41" i="4"/>
  <c r="AM96" i="4"/>
  <c r="W96" i="4"/>
  <c r="AM56" i="4"/>
  <c r="W56" i="4"/>
  <c r="AM102" i="4"/>
  <c r="W102" i="4"/>
  <c r="AM95" i="4"/>
  <c r="W95" i="4"/>
  <c r="W43" i="4"/>
  <c r="Y43" i="4" s="1"/>
  <c r="AR43" i="4" s="1"/>
  <c r="AM43" i="4"/>
  <c r="W82" i="4"/>
  <c r="AM82" i="4"/>
  <c r="AM105" i="4"/>
  <c r="W105" i="4"/>
  <c r="W47" i="4"/>
  <c r="Y47" i="4" s="1"/>
  <c r="AR47" i="4" s="1"/>
  <c r="AM47" i="4"/>
  <c r="W20" i="4"/>
  <c r="Y20" i="4" s="1"/>
  <c r="AR20" i="4" s="1"/>
  <c r="AM20" i="4"/>
  <c r="W114" i="4"/>
  <c r="AM114" i="4"/>
  <c r="AM118" i="4"/>
  <c r="W118" i="4"/>
  <c r="AM144" i="4"/>
  <c r="W144" i="4"/>
  <c r="W84" i="4"/>
  <c r="Y84" i="4" s="1"/>
  <c r="AR84" i="4" s="1"/>
  <c r="AM84" i="4"/>
  <c r="W70" i="4"/>
  <c r="Y70" i="4" s="1"/>
  <c r="AR70" i="4" s="1"/>
  <c r="AM70" i="4"/>
  <c r="AM54" i="4"/>
  <c r="W54" i="4"/>
  <c r="AM131" i="4"/>
  <c r="W131" i="4"/>
  <c r="W11" i="4"/>
  <c r="Y11" i="4" s="1"/>
  <c r="AR11" i="4" s="1"/>
  <c r="AM11" i="4"/>
  <c r="AM112" i="4"/>
  <c r="W112" i="4"/>
  <c r="W134" i="4"/>
  <c r="AM134" i="4"/>
  <c r="W23" i="4"/>
  <c r="Y23" i="4" s="1"/>
  <c r="AR23" i="4" s="1"/>
  <c r="AM23" i="4"/>
  <c r="AM115" i="4"/>
  <c r="W115" i="4"/>
  <c r="Y115" i="4" s="1"/>
  <c r="AR115" i="4" s="1"/>
  <c r="W66" i="4"/>
  <c r="AM66" i="4"/>
  <c r="AM125" i="4"/>
  <c r="W125" i="4"/>
  <c r="AM149" i="4"/>
  <c r="W149" i="4"/>
  <c r="W22" i="4"/>
  <c r="Y22" i="4" s="1"/>
  <c r="AR22" i="4" s="1"/>
  <c r="AM22" i="4"/>
  <c r="AM153" i="4"/>
  <c r="W153" i="4"/>
  <c r="Y153" i="4" s="1"/>
  <c r="AR153" i="4" s="1"/>
  <c r="W40" i="4"/>
  <c r="Y40" i="4" s="1"/>
  <c r="AR40" i="4" s="1"/>
  <c r="AM40" i="4"/>
  <c r="AM58" i="4"/>
  <c r="W58" i="4"/>
  <c r="AM77" i="4"/>
  <c r="W77" i="4"/>
  <c r="W60" i="4"/>
  <c r="AM60" i="4"/>
  <c r="W156" i="4"/>
  <c r="AM156" i="4"/>
  <c r="W123" i="4"/>
  <c r="AM123" i="4"/>
  <c r="AM18" i="4"/>
  <c r="W18" i="4"/>
  <c r="Y18" i="4" s="1"/>
  <c r="AR18" i="4" s="1"/>
  <c r="W110" i="4"/>
  <c r="AM110" i="4"/>
  <c r="AM127" i="4"/>
  <c r="W127" i="4"/>
  <c r="W26" i="4"/>
  <c r="Y26" i="4" s="1"/>
  <c r="AR26" i="4" s="1"/>
  <c r="AM26" i="4"/>
  <c r="AM75" i="4"/>
  <c r="W75" i="4"/>
  <c r="W124" i="4"/>
  <c r="AM124" i="4"/>
  <c r="AM38" i="4"/>
  <c r="W38" i="4"/>
  <c r="Y38" i="4" s="1"/>
  <c r="AR38" i="4" s="1"/>
  <c r="AM152" i="4"/>
  <c r="W152" i="4"/>
  <c r="AM133" i="4"/>
  <c r="W133" i="4"/>
  <c r="W73" i="4"/>
  <c r="AM73" i="4"/>
  <c r="AM92" i="4"/>
  <c r="W92" i="4"/>
  <c r="AM155" i="4"/>
  <c r="W155" i="4"/>
  <c r="W13" i="4"/>
  <c r="Y13" i="4" s="1"/>
  <c r="AR13" i="4" s="1"/>
  <c r="AM13" i="4"/>
  <c r="W157" i="4"/>
  <c r="Y157" i="4" s="1"/>
  <c r="AR157" i="4" s="1"/>
  <c r="AM157" i="4"/>
  <c r="AM111" i="4"/>
  <c r="W111" i="4"/>
  <c r="W49" i="4"/>
  <c r="Y49" i="4" s="1"/>
  <c r="AR49" i="4" s="1"/>
  <c r="AM49" i="4"/>
  <c r="AM19" i="4"/>
  <c r="W19" i="4"/>
  <c r="Y19" i="4" s="1"/>
  <c r="AR19" i="4" s="1"/>
  <c r="W71" i="4"/>
  <c r="Y71" i="4" s="1"/>
  <c r="AR71" i="4" s="1"/>
  <c r="AM71" i="4"/>
  <c r="AM103" i="4"/>
  <c r="W103" i="4"/>
  <c r="Y103" i="4" s="1"/>
  <c r="AR103" i="4" s="1"/>
  <c r="W12" i="4"/>
  <c r="Y12" i="4" s="1"/>
  <c r="AR12" i="4" s="1"/>
  <c r="AM12" i="4"/>
  <c r="W21" i="4"/>
  <c r="Y21" i="4" s="1"/>
  <c r="AR21" i="4" s="1"/>
  <c r="AM21" i="4"/>
  <c r="AL10" i="5"/>
  <c r="AK10" i="5"/>
  <c r="AX10" i="5"/>
  <c r="AY10" i="5"/>
  <c r="U10" i="5"/>
  <c r="V10" i="5"/>
  <c r="AM65" i="4"/>
  <c r="W65" i="4"/>
  <c r="AM146" i="4"/>
  <c r="W146" i="4"/>
  <c r="Y146" i="4" s="1"/>
  <c r="AR146" i="4" s="1"/>
  <c r="W98" i="4"/>
  <c r="AM98" i="4"/>
  <c r="AM129" i="4"/>
  <c r="W129" i="4"/>
  <c r="AM136" i="4"/>
  <c r="W136" i="4"/>
  <c r="W87" i="4"/>
  <c r="Y87" i="4" s="1"/>
  <c r="AR87" i="4" s="1"/>
  <c r="AM87" i="4"/>
  <c r="W34" i="4"/>
  <c r="Y34" i="4" s="1"/>
  <c r="AR34" i="4" s="1"/>
  <c r="AM34" i="4"/>
  <c r="W48" i="4"/>
  <c r="Y48" i="4" s="1"/>
  <c r="AR48" i="4" s="1"/>
  <c r="AM48" i="4"/>
  <c r="W68" i="4"/>
  <c r="Y68" i="4" s="1"/>
  <c r="AR68" i="4" s="1"/>
  <c r="AM68" i="4"/>
  <c r="AM46" i="4"/>
  <c r="W46" i="4"/>
  <c r="Y46" i="4" s="1"/>
  <c r="AR46" i="4" s="1"/>
  <c r="AM62" i="4"/>
  <c r="W62" i="4"/>
  <c r="W39" i="4"/>
  <c r="Y39" i="4" s="1"/>
  <c r="AR39" i="4" s="1"/>
  <c r="AM39" i="4"/>
  <c r="W9" i="4"/>
  <c r="Y9" i="4" s="1"/>
  <c r="AR9" i="4" s="1"/>
  <c r="AM9" i="4"/>
  <c r="AM100" i="4"/>
  <c r="W100" i="4"/>
  <c r="Y100" i="4" s="1"/>
  <c r="AR100" i="4" s="1"/>
  <c r="AM130" i="4"/>
  <c r="W130" i="4"/>
  <c r="AM78" i="4"/>
  <c r="W78" i="4"/>
  <c r="W55" i="4"/>
  <c r="AM55" i="4"/>
  <c r="W27" i="4"/>
  <c r="Y27" i="4" s="1"/>
  <c r="AR27" i="4" s="1"/>
  <c r="AM27" i="4"/>
  <c r="AM140" i="4"/>
  <c r="W140" i="4"/>
  <c r="W106" i="4"/>
  <c r="AM106" i="4"/>
  <c r="W35" i="4"/>
  <c r="Y35" i="4" s="1"/>
  <c r="AR35" i="4" s="1"/>
  <c r="AM35" i="4"/>
  <c r="W10" i="4"/>
  <c r="Y10" i="4" s="1"/>
  <c r="AR10" i="4" s="1"/>
  <c r="AM10" i="4"/>
  <c r="W51" i="4"/>
  <c r="Y51" i="4" s="1"/>
  <c r="AR51" i="4" s="1"/>
  <c r="AM51" i="4"/>
  <c r="W57" i="4"/>
  <c r="AM57" i="4"/>
  <c r="AM142" i="4"/>
  <c r="W142" i="4"/>
  <c r="AV10" i="5"/>
  <c r="AU10" i="5"/>
  <c r="BC10" i="5"/>
  <c r="B64" i="2"/>
  <c r="B66" i="2"/>
  <c r="B67" i="2" s="1"/>
  <c r="AV107" i="4"/>
  <c r="U107" i="4"/>
  <c r="AV116" i="4"/>
  <c r="U116" i="4"/>
  <c r="AV45" i="4"/>
  <c r="U45" i="4"/>
  <c r="AV72" i="4"/>
  <c r="U72" i="4"/>
  <c r="AV90" i="4"/>
  <c r="U90" i="4"/>
  <c r="AV32" i="4"/>
  <c r="U32" i="4"/>
  <c r="AV86" i="4"/>
  <c r="U86" i="4"/>
  <c r="AV42" i="4"/>
  <c r="U42" i="4"/>
  <c r="AV132" i="4"/>
  <c r="U132" i="4"/>
  <c r="U7" i="4"/>
  <c r="AV7" i="4"/>
  <c r="AV17" i="4"/>
  <c r="U17" i="4"/>
  <c r="U101" i="4"/>
  <c r="AV101" i="4"/>
  <c r="AV52" i="4"/>
  <c r="U52" i="4"/>
  <c r="AV14" i="4"/>
  <c r="U14" i="4"/>
  <c r="AV143" i="4"/>
  <c r="U143" i="4"/>
  <c r="AV36" i="4"/>
  <c r="U36" i="4"/>
  <c r="AV154" i="4"/>
  <c r="U154" i="4"/>
  <c r="X185" i="5"/>
  <c r="Y185" i="5"/>
  <c r="X310" i="5"/>
  <c r="Y310" i="5"/>
  <c r="X264" i="5"/>
  <c r="Y264" i="5"/>
  <c r="Y202" i="5"/>
  <c r="X202" i="5"/>
  <c r="X489" i="5"/>
  <c r="Y489" i="5"/>
  <c r="Y250" i="5"/>
  <c r="X250" i="5"/>
  <c r="X232" i="5"/>
  <c r="Y232" i="5"/>
  <c r="X431" i="5"/>
  <c r="Y431" i="5"/>
  <c r="Y363" i="5"/>
  <c r="X363" i="5"/>
  <c r="Y51" i="5"/>
  <c r="X51" i="5"/>
  <c r="X107" i="5"/>
  <c r="Y107" i="5"/>
  <c r="X225" i="5"/>
  <c r="Y225" i="5"/>
  <c r="X91" i="5"/>
  <c r="Y91" i="5"/>
  <c r="X132" i="5"/>
  <c r="Y132" i="5"/>
  <c r="X12" i="5"/>
  <c r="Y12" i="5"/>
  <c r="X258" i="5"/>
  <c r="Y258" i="5"/>
  <c r="Y513" i="5"/>
  <c r="X513" i="5"/>
  <c r="Y316" i="5"/>
  <c r="X316" i="5"/>
  <c r="X512" i="5"/>
  <c r="Y512" i="5"/>
  <c r="X100" i="5"/>
  <c r="Y100" i="5"/>
  <c r="X347" i="5"/>
  <c r="Y347" i="5"/>
  <c r="Y533" i="5"/>
  <c r="X533" i="5"/>
  <c r="X111" i="5"/>
  <c r="Y111" i="5"/>
  <c r="X303" i="5"/>
  <c r="Y303" i="5"/>
  <c r="X197" i="5"/>
  <c r="Y197" i="5"/>
  <c r="Y176" i="5"/>
  <c r="X176" i="5"/>
  <c r="Y367" i="5"/>
  <c r="X367" i="5"/>
  <c r="X141" i="5"/>
  <c r="Y141" i="5"/>
  <c r="X211" i="5"/>
  <c r="Y211" i="5"/>
  <c r="Y35" i="5"/>
  <c r="X35" i="5"/>
  <c r="X502" i="5"/>
  <c r="Y502" i="5"/>
  <c r="X95" i="5"/>
  <c r="Y95" i="5"/>
  <c r="Y407" i="5"/>
  <c r="X407" i="5"/>
  <c r="X172" i="5"/>
  <c r="Y172" i="5"/>
  <c r="X203" i="5"/>
  <c r="Y203" i="5"/>
  <c r="Y323" i="5"/>
  <c r="X323" i="5"/>
  <c r="Y28" i="5"/>
  <c r="X28" i="5"/>
  <c r="Y515" i="5"/>
  <c r="X515" i="5"/>
  <c r="Y255" i="5"/>
  <c r="X255" i="5"/>
  <c r="Y522" i="5"/>
  <c r="X522" i="5"/>
  <c r="X237" i="5"/>
  <c r="Y237" i="5"/>
  <c r="Y98" i="5"/>
  <c r="X98" i="5"/>
  <c r="Y233" i="5"/>
  <c r="X233" i="5"/>
  <c r="Y165" i="5"/>
  <c r="X165" i="5"/>
  <c r="X267" i="5"/>
  <c r="Y267" i="5"/>
  <c r="X173" i="5"/>
  <c r="Y173" i="5"/>
  <c r="X368" i="5"/>
  <c r="Y368" i="5"/>
  <c r="X215" i="5"/>
  <c r="Y215" i="5"/>
  <c r="X19" i="5"/>
  <c r="Y19" i="5"/>
  <c r="Y101" i="5"/>
  <c r="X101" i="5"/>
  <c r="Y480" i="5"/>
  <c r="X480" i="5"/>
  <c r="Y180" i="5"/>
  <c r="X180" i="5"/>
  <c r="Y418" i="5"/>
  <c r="X418" i="5"/>
  <c r="Y10" i="5"/>
  <c r="X10" i="5"/>
  <c r="X179" i="5"/>
  <c r="Y179" i="5"/>
  <c r="Y187" i="5"/>
  <c r="X187" i="5"/>
  <c r="Y343" i="5"/>
  <c r="X343" i="5"/>
  <c r="X388" i="5"/>
  <c r="Y388" i="5"/>
  <c r="X151" i="5"/>
  <c r="Y151" i="5"/>
  <c r="X23" i="5"/>
  <c r="Y23" i="5"/>
  <c r="X501" i="5"/>
  <c r="Y501" i="5"/>
  <c r="Y376" i="5"/>
  <c r="X376" i="5"/>
  <c r="X400" i="5"/>
  <c r="Y400" i="5"/>
  <c r="Y7" i="5"/>
  <c r="X7" i="5"/>
  <c r="AV131" i="4"/>
  <c r="U131" i="4"/>
  <c r="AV11" i="4"/>
  <c r="U11" i="4"/>
  <c r="AV112" i="4"/>
  <c r="U112" i="4"/>
  <c r="AV134" i="4"/>
  <c r="U134" i="4"/>
  <c r="AV23" i="4"/>
  <c r="U23" i="4"/>
  <c r="AV115" i="4"/>
  <c r="U115" i="4"/>
  <c r="AV66" i="4"/>
  <c r="U66" i="4"/>
  <c r="AV125" i="4"/>
  <c r="U125" i="4"/>
  <c r="AV149" i="4"/>
  <c r="U149" i="4"/>
  <c r="AV22" i="4"/>
  <c r="U22" i="4"/>
  <c r="AV153" i="4"/>
  <c r="U153" i="4"/>
  <c r="AV40" i="4"/>
  <c r="U40" i="4"/>
  <c r="AV58" i="4"/>
  <c r="U58" i="4"/>
  <c r="AV77" i="4"/>
  <c r="U77" i="4"/>
  <c r="AV60" i="4"/>
  <c r="U60" i="4"/>
  <c r="AV156" i="4"/>
  <c r="U156" i="4"/>
  <c r="AV123" i="4"/>
  <c r="U123" i="4"/>
  <c r="AV18" i="4"/>
  <c r="U18" i="4"/>
  <c r="AV110" i="4"/>
  <c r="U110" i="4"/>
  <c r="AV127" i="4"/>
  <c r="U127" i="4"/>
  <c r="AV26" i="4"/>
  <c r="U26" i="4"/>
  <c r="U75" i="4"/>
  <c r="AV75" i="4"/>
  <c r="AV124" i="4"/>
  <c r="U124" i="4"/>
  <c r="AV38" i="4"/>
  <c r="U38" i="4"/>
  <c r="AV152" i="4"/>
  <c r="U152" i="4"/>
  <c r="AV133" i="4"/>
  <c r="U133" i="4"/>
  <c r="AV73" i="4"/>
  <c r="U73" i="4"/>
  <c r="AV92" i="4"/>
  <c r="U92" i="4"/>
  <c r="AV155" i="4"/>
  <c r="U155" i="4"/>
  <c r="AV13" i="4"/>
  <c r="U13" i="4"/>
  <c r="AV157" i="4"/>
  <c r="U157" i="4"/>
  <c r="AV111" i="4"/>
  <c r="U111" i="4"/>
  <c r="AV49" i="4"/>
  <c r="U49" i="4"/>
  <c r="AV19" i="4"/>
  <c r="U19" i="4"/>
  <c r="AV71" i="4"/>
  <c r="U71" i="4"/>
  <c r="U103" i="4"/>
  <c r="AV103" i="4"/>
  <c r="AV12" i="4"/>
  <c r="U12" i="4"/>
  <c r="AV21" i="4"/>
  <c r="U21" i="4"/>
  <c r="AG393" i="5"/>
  <c r="AG181" i="5"/>
  <c r="AG352" i="5"/>
  <c r="AG96" i="5"/>
  <c r="AG367" i="5"/>
  <c r="AG324" i="5"/>
  <c r="AG72" i="5"/>
  <c r="AG220" i="5"/>
  <c r="AG158" i="5"/>
  <c r="AG463" i="5"/>
  <c r="AG184" i="5"/>
  <c r="AG247" i="5"/>
  <c r="AG164" i="5"/>
  <c r="B74" i="5"/>
  <c r="AG88" i="5"/>
  <c r="AG134" i="5"/>
  <c r="AG192" i="5"/>
  <c r="AG165" i="5"/>
  <c r="AG13" i="5"/>
  <c r="AG411" i="5"/>
  <c r="AG298" i="5"/>
  <c r="AG29" i="5"/>
  <c r="AG155" i="5"/>
  <c r="AG112" i="5"/>
  <c r="AG213" i="5"/>
  <c r="AG84" i="5"/>
  <c r="AG374" i="5"/>
  <c r="AG186" i="5"/>
  <c r="AG274" i="5"/>
  <c r="AG89" i="5"/>
  <c r="AG450" i="5"/>
  <c r="AG448" i="5"/>
  <c r="AG483" i="5"/>
  <c r="AG94" i="5"/>
  <c r="AG30" i="5"/>
  <c r="AG236" i="5"/>
  <c r="AG321" i="5"/>
  <c r="AG170" i="5"/>
  <c r="AG98" i="5"/>
  <c r="AG416" i="5"/>
  <c r="AG378" i="5"/>
  <c r="AG22" i="5"/>
  <c r="AG243" i="5"/>
  <c r="AG116" i="5"/>
  <c r="AG66" i="5"/>
  <c r="AG377" i="5"/>
  <c r="AG110" i="5"/>
  <c r="AG195" i="5"/>
  <c r="AG355" i="5"/>
  <c r="AG219" i="5"/>
  <c r="AG149" i="5"/>
  <c r="AG35" i="5"/>
  <c r="AG143" i="5"/>
  <c r="AG360" i="5"/>
  <c r="AG252" i="5"/>
  <c r="AG468" i="5"/>
  <c r="AG269" i="5"/>
  <c r="AG266" i="5"/>
  <c r="AG150" i="5"/>
  <c r="AG451" i="5"/>
  <c r="AG364" i="5"/>
  <c r="AG383" i="5"/>
  <c r="AG182" i="5"/>
  <c r="AG496" i="5"/>
  <c r="AG510" i="5"/>
  <c r="AG46" i="5"/>
  <c r="AG418" i="5"/>
  <c r="AG199" i="5"/>
  <c r="AG81" i="5"/>
  <c r="AG71" i="5"/>
  <c r="AG249" i="5"/>
  <c r="AG459" i="5"/>
  <c r="AG331" i="5"/>
  <c r="AG441" i="5"/>
  <c r="AG508" i="5"/>
  <c r="AG458" i="5"/>
  <c r="AG506" i="5"/>
  <c r="AG144" i="5"/>
  <c r="AG351" i="5"/>
  <c r="AG261" i="5"/>
  <c r="AG407" i="5"/>
  <c r="AG348" i="5"/>
  <c r="AG500" i="5"/>
  <c r="AG415" i="5"/>
  <c r="AG344" i="5"/>
  <c r="AG555" i="5"/>
  <c r="AG193" i="5"/>
  <c r="AG54" i="5"/>
  <c r="AG521" i="5"/>
  <c r="AG73" i="5"/>
  <c r="AG311" i="5"/>
  <c r="AG163" i="5"/>
  <c r="AG504" i="5"/>
  <c r="AG542" i="5"/>
  <c r="AG475" i="5"/>
  <c r="AG502" i="5"/>
  <c r="AG467" i="5"/>
  <c r="AG205" i="5"/>
  <c r="AG400" i="5"/>
  <c r="AG420" i="5"/>
  <c r="AG290" i="5"/>
  <c r="AG47" i="5"/>
  <c r="AG145" i="5"/>
  <c r="AG267" i="5"/>
  <c r="AG361" i="5"/>
  <c r="AG142" i="5"/>
  <c r="AG183" i="5"/>
  <c r="AG226" i="5"/>
  <c r="AG187" i="5"/>
  <c r="AG75" i="5"/>
  <c r="AG68" i="5"/>
  <c r="AG52" i="5"/>
  <c r="AG224" i="5"/>
  <c r="AG547" i="5"/>
  <c r="AG190" i="5"/>
  <c r="AG173" i="5"/>
  <c r="AG437" i="5"/>
  <c r="AG436" i="5"/>
  <c r="AG172" i="5"/>
  <c r="AG40" i="5"/>
  <c r="AG336" i="5"/>
  <c r="AG390" i="5"/>
  <c r="AG202" i="5"/>
  <c r="AG534" i="5"/>
  <c r="AG365" i="5"/>
  <c r="AG325" i="5"/>
  <c r="AG117" i="5"/>
  <c r="AG526" i="5"/>
  <c r="AG453" i="5"/>
  <c r="AG97" i="5"/>
  <c r="AG101" i="5"/>
  <c r="AG515" i="5"/>
  <c r="AG303" i="5"/>
  <c r="AG211" i="5"/>
  <c r="AG301" i="5"/>
  <c r="AG215" i="5"/>
  <c r="AG412" i="5"/>
  <c r="AG295" i="5"/>
  <c r="AG346" i="5"/>
  <c r="AG402" i="5"/>
  <c r="AG42" i="5"/>
  <c r="AG503" i="5"/>
  <c r="AG449" i="5"/>
  <c r="AG85" i="5"/>
  <c r="AG131" i="5"/>
  <c r="AG111" i="5"/>
  <c r="AG532" i="5"/>
  <c r="AG341" i="5"/>
  <c r="AG241" i="5"/>
  <c r="AG345" i="5"/>
  <c r="AG263" i="5"/>
  <c r="AG444" i="5"/>
  <c r="AG105" i="5"/>
  <c r="AG552" i="5"/>
  <c r="AG357" i="5"/>
  <c r="AG371" i="5"/>
  <c r="AG498" i="5"/>
  <c r="AG93" i="5"/>
  <c r="AG197" i="5"/>
  <c r="AG27" i="5"/>
  <c r="AG80" i="5"/>
  <c r="AG115" i="5"/>
  <c r="AG489" i="5"/>
  <c r="AG442" i="5"/>
  <c r="AG476" i="5"/>
  <c r="AG531" i="5"/>
  <c r="AG545" i="5"/>
  <c r="AG512" i="5"/>
  <c r="AG445" i="5"/>
  <c r="AG353" i="5"/>
  <c r="AG179" i="5"/>
  <c r="AG39" i="5"/>
  <c r="AG235" i="5"/>
  <c r="AG491" i="5"/>
  <c r="AG537" i="5"/>
  <c r="AG517" i="5"/>
  <c r="AG394" i="5"/>
  <c r="AG25" i="5"/>
  <c r="AG139" i="5"/>
  <c r="AG315" i="5"/>
  <c r="AG556" i="5"/>
  <c r="AG369" i="5"/>
  <c r="AG559" i="5"/>
  <c r="AG388" i="5"/>
  <c r="AG434" i="5"/>
  <c r="AG514" i="5"/>
  <c r="AG44" i="5"/>
  <c r="AG160" i="5"/>
  <c r="AG466" i="5"/>
  <c r="AG395" i="5"/>
  <c r="AG191" i="5"/>
  <c r="AG140" i="5"/>
  <c r="AG478" i="5"/>
  <c r="AG76" i="5"/>
  <c r="AG95" i="5"/>
  <c r="AG350" i="5"/>
  <c r="AG106" i="5"/>
  <c r="AG340" i="5"/>
  <c r="AG232" i="5"/>
  <c r="AG404" i="5"/>
  <c r="AG318" i="5"/>
  <c r="AG276" i="5"/>
  <c r="AG544" i="5"/>
  <c r="AG379" i="5"/>
  <c r="AG399" i="5"/>
  <c r="AG154" i="5"/>
  <c r="AG471" i="5"/>
  <c r="AG138" i="5"/>
  <c r="AG372" i="5"/>
  <c r="AG530" i="5"/>
  <c r="AG157" i="5"/>
  <c r="AG20" i="5"/>
  <c r="AG306" i="5"/>
  <c r="AG322" i="5"/>
  <c r="AG148" i="5"/>
  <c r="AG310" i="5"/>
  <c r="AG465" i="5"/>
  <c r="AG258" i="5"/>
  <c r="AG501" i="5"/>
  <c r="AG147" i="5"/>
  <c r="AG285" i="5"/>
  <c r="AG505" i="5"/>
  <c r="AG49" i="5"/>
  <c r="AG535" i="5"/>
  <c r="AG177" i="5"/>
  <c r="AG329" i="5"/>
  <c r="AG487" i="5"/>
  <c r="AG440" i="5"/>
  <c r="AG278" i="5"/>
  <c r="AG171" i="5"/>
  <c r="AG474" i="5"/>
  <c r="AG438" i="5"/>
  <c r="AG273" i="5"/>
  <c r="AG349" i="5"/>
  <c r="AG516" i="5"/>
  <c r="AG507" i="5"/>
  <c r="AG433" i="5"/>
  <c r="AG107" i="5"/>
  <c r="AG86" i="5"/>
  <c r="AG53" i="5"/>
  <c r="AG221" i="5"/>
  <c r="AG79" i="5"/>
  <c r="AG533" i="5"/>
  <c r="AG370" i="5"/>
  <c r="AG100" i="5"/>
  <c r="AG12" i="5"/>
  <c r="AG338" i="5"/>
  <c r="AG228" i="5"/>
  <c r="AG282" i="5"/>
  <c r="AG188" i="5"/>
  <c r="AG122" i="5"/>
  <c r="AG426" i="5"/>
  <c r="AG166" i="5"/>
  <c r="AG334" i="5"/>
  <c r="AG246" i="5"/>
  <c r="AG203" i="5"/>
  <c r="AG244" i="5"/>
  <c r="AG366" i="5"/>
  <c r="AG135" i="5"/>
  <c r="AG114" i="5"/>
  <c r="AG391" i="5"/>
  <c r="AG271" i="5"/>
  <c r="AG169" i="5"/>
  <c r="AG196" i="5"/>
  <c r="AG41" i="5"/>
  <c r="AG527" i="5"/>
  <c r="AG528" i="5"/>
  <c r="AG132" i="5"/>
  <c r="AG330" i="5"/>
  <c r="AG55" i="5"/>
  <c r="AG245" i="5"/>
  <c r="AG206" i="5"/>
  <c r="AG408" i="5"/>
  <c r="AG262" i="5"/>
  <c r="AG461" i="5"/>
  <c r="AG470" i="5"/>
  <c r="AG541" i="5"/>
  <c r="AG396" i="5"/>
  <c r="AG477" i="5"/>
  <c r="AG554" i="5"/>
  <c r="AG121" i="5"/>
  <c r="AG33" i="5"/>
  <c r="AG485" i="5"/>
  <c r="AG64" i="5"/>
  <c r="AG230" i="5"/>
  <c r="AG120" i="5"/>
  <c r="AG137" i="5"/>
  <c r="AG289" i="5"/>
  <c r="AG560" i="5"/>
  <c r="AG540" i="5"/>
  <c r="AG223" i="5"/>
  <c r="AG287" i="5"/>
  <c r="AG189" i="5"/>
  <c r="AG61" i="5"/>
  <c r="AG387" i="5"/>
  <c r="AG293" i="5"/>
  <c r="AG439" i="5"/>
  <c r="AG422" i="5"/>
  <c r="AG525" i="5"/>
  <c r="AG380" i="5"/>
  <c r="AG292" i="5"/>
  <c r="AG494" i="5"/>
  <c r="AG104" i="5"/>
  <c r="AG119" i="5"/>
  <c r="AG34" i="5"/>
  <c r="AG495" i="5"/>
  <c r="AG279" i="5"/>
  <c r="AG397" i="5"/>
  <c r="AG259" i="5"/>
  <c r="AG410" i="5"/>
  <c r="AG109" i="5"/>
  <c r="AG339" i="5"/>
  <c r="AG354" i="5"/>
  <c r="AG45" i="5"/>
  <c r="AG256" i="5"/>
  <c r="AG26" i="5"/>
  <c r="AG82" i="5"/>
  <c r="AG430" i="5"/>
  <c r="AG65" i="5"/>
  <c r="AG307" i="5"/>
  <c r="AG208" i="5"/>
  <c r="AG314" i="5"/>
  <c r="AG214" i="5"/>
  <c r="AG456" i="5"/>
  <c r="AG136" i="5"/>
  <c r="AG543" i="5"/>
  <c r="AG304" i="5"/>
  <c r="AG272" i="5"/>
  <c r="AG48" i="5"/>
  <c r="AG457" i="5"/>
  <c r="AG180" i="5"/>
  <c r="AG62" i="5"/>
  <c r="AG405" i="5"/>
  <c r="AG553" i="5"/>
  <c r="AG275" i="5"/>
  <c r="AG257" i="5"/>
  <c r="AG233" i="5"/>
  <c r="AG37" i="5"/>
  <c r="AG99" i="5"/>
  <c r="AG58" i="5"/>
  <c r="AG239" i="5"/>
  <c r="AG429" i="5"/>
  <c r="AG201" i="5"/>
  <c r="AG67" i="5"/>
  <c r="AG36" i="5"/>
  <c r="AG60" i="5"/>
  <c r="AG227" i="5"/>
  <c r="AG92" i="5"/>
  <c r="AG43" i="5"/>
  <c r="AG337" i="5"/>
  <c r="AG251" i="5"/>
  <c r="AG432" i="5"/>
  <c r="AG519" i="5"/>
  <c r="AG392" i="5"/>
  <c r="AG305" i="5"/>
  <c r="AG469" i="5"/>
  <c r="AG493" i="5"/>
  <c r="AG320" i="5"/>
  <c r="AG481" i="5"/>
  <c r="AG490" i="5"/>
  <c r="AG21" i="5"/>
  <c r="AG300" i="5"/>
  <c r="AG124" i="5"/>
  <c r="AG435" i="5"/>
  <c r="AG447" i="5"/>
  <c r="AG123" i="5"/>
  <c r="AG332" i="5"/>
  <c r="AG240" i="5"/>
  <c r="AG87" i="5"/>
  <c r="AG102" i="5"/>
  <c r="AG452" i="5"/>
  <c r="AG520" i="5"/>
  <c r="AG425" i="5"/>
  <c r="AG381" i="5"/>
  <c r="AG492" i="5"/>
  <c r="AG359" i="5"/>
  <c r="AG462" i="5"/>
  <c r="AG294" i="5"/>
  <c r="AG277" i="5"/>
  <c r="AG557" i="5"/>
  <c r="AG317" i="5"/>
  <c r="AG523" i="5"/>
  <c r="AG130" i="5"/>
  <c r="AG128" i="5"/>
  <c r="AG253" i="5"/>
  <c r="AG57" i="5"/>
  <c r="AG362" i="5"/>
  <c r="AG486" i="5"/>
  <c r="AG10" i="5"/>
  <c r="AG242" i="5"/>
  <c r="AG428" i="5"/>
  <c r="AG141" i="5"/>
  <c r="AG59" i="5"/>
  <c r="AG327" i="5"/>
  <c r="AG185" i="5"/>
  <c r="AG209" i="5"/>
  <c r="AG319" i="5"/>
  <c r="AG255" i="5"/>
  <c r="AG129" i="5"/>
  <c r="AG175" i="5"/>
  <c r="AG63" i="5"/>
  <c r="AG347" i="5"/>
  <c r="AG238" i="5"/>
  <c r="AG419" i="5"/>
  <c r="AG382" i="5"/>
  <c r="AG316" i="5"/>
  <c r="AG363" i="5"/>
  <c r="AG151" i="5"/>
  <c r="AG499" i="5"/>
  <c r="AG356" i="5"/>
  <c r="AG159" i="5"/>
  <c r="AG312" i="5"/>
  <c r="AG146" i="5"/>
  <c r="AG413" i="5"/>
  <c r="AG133" i="5"/>
  <c r="AG313" i="5"/>
  <c r="AG174" i="5"/>
  <c r="AG7" i="5"/>
  <c r="AG403" i="5"/>
  <c r="AG443" i="5"/>
  <c r="AG50" i="5"/>
  <c r="AG125" i="5"/>
  <c r="AG302" i="5"/>
  <c r="AG473" i="5"/>
  <c r="AG283" i="5"/>
  <c r="AG161" i="5"/>
  <c r="AG24" i="5"/>
  <c r="AG231" i="5"/>
  <c r="AG69" i="5"/>
  <c r="AG91" i="5"/>
  <c r="AG70" i="5"/>
  <c r="AG156" i="5"/>
  <c r="AG389" i="5"/>
  <c r="AG250" i="5"/>
  <c r="AG168" i="5"/>
  <c r="AG333" i="5"/>
  <c r="AG291" i="5"/>
  <c r="AG77" i="5"/>
  <c r="AG207" i="5"/>
  <c r="AG222" i="5"/>
  <c r="AG78" i="5"/>
  <c r="AG56" i="5"/>
  <c r="AG19" i="5"/>
  <c r="AG167" i="5"/>
  <c r="AG178" i="5"/>
  <c r="AG225" i="5"/>
  <c r="AG472" i="5"/>
  <c r="AG200" i="5"/>
  <c r="AG518" i="5"/>
  <c r="AG342" i="5"/>
  <c r="AG260" i="5"/>
  <c r="AG539" i="5"/>
  <c r="AG152" i="5"/>
  <c r="AG28" i="5"/>
  <c r="AG511" i="5"/>
  <c r="AG153" i="5"/>
  <c r="AG268" i="5"/>
  <c r="AG308" i="5"/>
  <c r="AG509" i="5"/>
  <c r="AG118" i="5"/>
  <c r="AG103" i="5"/>
  <c r="AG558" i="5"/>
  <c r="AG270" i="5"/>
  <c r="AG323" i="5"/>
  <c r="AG212" i="5"/>
  <c r="AG113" i="5"/>
  <c r="AG284" i="5"/>
  <c r="AG488" i="5"/>
  <c r="AG358" i="5"/>
  <c r="AG204" i="5"/>
  <c r="AG538" i="5"/>
  <c r="AG234" i="5"/>
  <c r="AG548" i="5"/>
  <c r="AG409" i="5"/>
  <c r="AG237" i="5"/>
  <c r="AG522" i="5"/>
  <c r="AG296" i="5"/>
  <c r="AG427" i="5"/>
  <c r="AG176" i="5"/>
  <c r="AG127" i="5"/>
  <c r="AG265" i="5"/>
  <c r="AG368" i="5"/>
  <c r="AG281" i="5"/>
  <c r="AG38" i="5"/>
  <c r="AG23" i="5"/>
  <c r="AG248" i="5"/>
  <c r="AG108" i="5"/>
  <c r="AG217" i="5"/>
  <c r="AG385" i="5"/>
  <c r="AG254" i="5"/>
  <c r="AG373" i="5"/>
  <c r="AG297" i="5"/>
  <c r="AG549" i="5"/>
  <c r="AG328" i="5"/>
  <c r="AG32" i="5"/>
  <c r="AG210" i="5"/>
  <c r="AG74" i="5"/>
  <c r="AG384" i="5"/>
  <c r="AG126" i="5"/>
  <c r="AG83" i="5"/>
  <c r="AG31" i="5"/>
  <c r="AG280" i="5"/>
  <c r="AG431" i="5"/>
  <c r="AG479" i="5"/>
  <c r="AG198" i="5"/>
  <c r="AG536" i="5"/>
  <c r="AG90" i="5"/>
  <c r="AG454" i="5"/>
  <c r="AG406" i="5"/>
  <c r="AG229" i="5"/>
  <c r="AG309" i="5"/>
  <c r="AG551" i="5"/>
  <c r="AG464" i="5"/>
  <c r="AG401" i="5"/>
  <c r="AG529" i="5"/>
  <c r="AG376" i="5"/>
  <c r="AG550" i="5"/>
  <c r="AG484" i="5"/>
  <c r="AG455" i="5"/>
  <c r="AG326" i="5"/>
  <c r="AG414" i="5"/>
  <c r="AG375" i="5"/>
  <c r="AG497" i="5"/>
  <c r="AG288" i="5"/>
  <c r="AG421" i="5"/>
  <c r="AG460" i="5"/>
  <c r="AG8" i="5"/>
  <c r="AG480" i="5"/>
  <c r="AG417" i="5"/>
  <c r="AG546" i="5"/>
  <c r="AG162" i="5"/>
  <c r="AG423" i="5"/>
  <c r="AG286" i="5"/>
  <c r="AG194" i="5"/>
  <c r="AG386" i="5"/>
  <c r="AG398" i="5"/>
  <c r="AG51" i="5"/>
  <c r="AG524" i="5"/>
  <c r="AG446" i="5"/>
  <c r="AG299" i="5"/>
  <c r="AG424" i="5"/>
  <c r="AG513" i="5"/>
  <c r="AG482" i="5"/>
  <c r="AG343" i="5"/>
  <c r="AG216" i="5"/>
  <c r="AG264" i="5"/>
  <c r="AG335" i="5"/>
  <c r="AG218" i="5"/>
  <c r="AM430" i="5"/>
  <c r="AM417" i="5"/>
  <c r="AM516" i="5"/>
  <c r="AM232" i="5"/>
  <c r="AM467" i="5"/>
  <c r="AM175" i="5"/>
  <c r="AM245" i="5"/>
  <c r="AM280" i="5"/>
  <c r="AM373" i="5"/>
  <c r="AM257" i="5"/>
  <c r="AM261" i="5"/>
  <c r="AM235" i="5"/>
  <c r="AM139" i="5"/>
  <c r="AM157" i="5"/>
  <c r="AM114" i="5"/>
  <c r="AM40" i="5"/>
  <c r="AM429" i="5"/>
  <c r="AM424" i="5"/>
  <c r="AM80" i="5"/>
  <c r="AM212" i="5"/>
  <c r="AM322" i="5"/>
  <c r="AM489" i="5"/>
  <c r="AM60" i="5"/>
  <c r="AM221" i="5"/>
  <c r="AM546" i="5"/>
  <c r="AM21" i="5"/>
  <c r="AM92" i="5"/>
  <c r="AM298" i="5"/>
  <c r="AM288" i="5"/>
  <c r="AM514" i="5"/>
  <c r="AM486" i="5"/>
  <c r="AM321" i="5"/>
  <c r="AM376" i="5"/>
  <c r="AM525" i="5"/>
  <c r="AM441" i="5"/>
  <c r="AM307" i="5"/>
  <c r="AM226" i="5"/>
  <c r="AM87" i="5"/>
  <c r="AM188" i="5"/>
  <c r="AM364" i="5"/>
  <c r="AM418" i="5"/>
  <c r="AM272" i="5"/>
  <c r="AM330" i="5"/>
  <c r="AM51" i="5"/>
  <c r="AM182" i="5"/>
  <c r="AM345" i="5"/>
  <c r="AM395" i="5"/>
  <c r="AM278" i="5"/>
  <c r="AM380" i="5"/>
  <c r="AM391" i="5"/>
  <c r="AM121" i="5"/>
  <c r="AM405" i="5"/>
  <c r="AM374" i="5"/>
  <c r="AM390" i="5"/>
  <c r="AM89" i="5"/>
  <c r="AM350" i="5"/>
  <c r="AM124" i="5"/>
  <c r="AM409" i="5"/>
  <c r="AM253" i="5"/>
  <c r="AM487" i="5"/>
  <c r="AM224" i="5"/>
  <c r="AM246" i="5"/>
  <c r="AM534" i="5"/>
  <c r="AM269" i="5"/>
  <c r="AM539" i="5"/>
  <c r="AM351" i="5"/>
  <c r="AM289" i="5"/>
  <c r="AM142" i="5"/>
  <c r="AM48" i="5"/>
  <c r="AM63" i="5"/>
  <c r="AM130" i="5"/>
  <c r="AM204" i="5"/>
  <c r="AM171" i="5"/>
  <c r="AM478" i="5"/>
  <c r="AM8" i="5"/>
  <c r="AM147" i="5"/>
  <c r="AM31" i="5"/>
  <c r="AM211" i="5"/>
  <c r="AM484" i="5"/>
  <c r="AM96" i="5"/>
  <c r="AM133" i="5"/>
  <c r="AM132" i="5"/>
  <c r="AM346" i="5"/>
  <c r="AM191" i="5"/>
  <c r="AM277" i="5"/>
  <c r="AM483" i="5"/>
  <c r="AM7" i="5"/>
  <c r="AM315" i="5"/>
  <c r="AM445" i="5"/>
  <c r="AM531" i="5"/>
  <c r="AM493" i="5"/>
  <c r="AM381" i="5"/>
  <c r="AM201" i="5"/>
  <c r="AM521" i="5"/>
  <c r="AM123" i="5"/>
  <c r="AM296" i="5"/>
  <c r="AM282" i="5"/>
  <c r="AM118" i="5"/>
  <c r="AM91" i="5"/>
  <c r="AM126" i="5"/>
  <c r="AM71" i="5"/>
  <c r="AM406" i="5"/>
  <c r="AM75" i="5"/>
  <c r="AM70" i="5"/>
  <c r="AM507" i="5"/>
  <c r="AM385" i="5"/>
  <c r="AM223" i="5"/>
  <c r="AM501" i="5"/>
  <c r="AM242" i="5"/>
  <c r="AM490" i="5"/>
  <c r="AM423" i="5"/>
  <c r="AM205" i="5"/>
  <c r="AM443" i="5"/>
  <c r="AM378" i="5"/>
  <c r="AM522" i="5"/>
  <c r="AM466" i="5"/>
  <c r="AM74" i="5"/>
  <c r="AM79" i="5"/>
  <c r="AM339" i="5"/>
  <c r="AM549" i="5"/>
  <c r="AM518" i="5"/>
  <c r="AM314" i="5"/>
  <c r="AM379" i="5"/>
  <c r="AM168" i="5"/>
  <c r="AM414" i="5"/>
  <c r="AM550" i="5"/>
  <c r="AM58" i="5"/>
  <c r="AM392" i="5"/>
  <c r="AM285" i="5"/>
  <c r="AM141" i="5"/>
  <c r="AM47" i="5"/>
  <c r="AM388" i="5"/>
  <c r="AM156" i="5"/>
  <c r="AM128" i="5"/>
  <c r="AM538" i="5"/>
  <c r="AM323" i="5"/>
  <c r="AM117" i="5"/>
  <c r="AM214" i="5"/>
  <c r="AM449" i="5"/>
  <c r="AM218" i="5"/>
  <c r="AM268" i="5"/>
  <c r="AM172" i="5"/>
  <c r="AM271" i="5"/>
  <c r="AM520" i="5"/>
  <c r="AM83" i="5"/>
  <c r="AM371" i="5"/>
  <c r="AM119" i="5"/>
  <c r="AM24" i="5"/>
  <c r="AM57" i="5"/>
  <c r="AM231" i="5"/>
  <c r="AM35" i="5"/>
  <c r="AM435" i="5"/>
  <c r="AM305" i="5"/>
  <c r="AM25" i="5"/>
  <c r="AM99" i="5"/>
  <c r="AM407" i="5"/>
  <c r="AM210" i="5"/>
  <c r="AM553" i="5"/>
  <c r="AM161" i="5"/>
  <c r="AM199" i="5"/>
  <c r="AM86" i="5"/>
  <c r="AM254" i="5"/>
  <c r="AM111" i="5"/>
  <c r="AM93" i="5"/>
  <c r="AM341" i="5"/>
  <c r="AM207" i="5"/>
  <c r="AM23" i="5"/>
  <c r="B78" i="5"/>
  <c r="AM76" i="5"/>
  <c r="AM250" i="5"/>
  <c r="AM508" i="5"/>
  <c r="AM331" i="5"/>
  <c r="AM167" i="5"/>
  <c r="AM270" i="5"/>
  <c r="AM238" i="5"/>
  <c r="AM103" i="5"/>
  <c r="AM436" i="5"/>
  <c r="AM361" i="5"/>
  <c r="AM20" i="5"/>
  <c r="AM422" i="5"/>
  <c r="AM122" i="5"/>
  <c r="AM476" i="5"/>
  <c r="AM488" i="5"/>
  <c r="AM180" i="5"/>
  <c r="AM197" i="5"/>
  <c r="AM428" i="5"/>
  <c r="AM471" i="5"/>
  <c r="AM185" i="5"/>
  <c r="AM256" i="5"/>
  <c r="AM480" i="5"/>
  <c r="AM29" i="5"/>
  <c r="AM360" i="5"/>
  <c r="AM511" i="5"/>
  <c r="AM458" i="5"/>
  <c r="AM174" i="5"/>
  <c r="AM527" i="5"/>
  <c r="AM465" i="5"/>
  <c r="AM227" i="5"/>
  <c r="AM540" i="5"/>
  <c r="AM498" i="5"/>
  <c r="AM208" i="5"/>
  <c r="AM347" i="5"/>
  <c r="AM349" i="5"/>
  <c r="AM532" i="5"/>
  <c r="AM506" i="5"/>
  <c r="AM59" i="5"/>
  <c r="AM303" i="5"/>
  <c r="AM300" i="5"/>
  <c r="AM367" i="5"/>
  <c r="AM150" i="5"/>
  <c r="AM528" i="5"/>
  <c r="AM470" i="5"/>
  <c r="AM44" i="5"/>
  <c r="AM49" i="5"/>
  <c r="AM100" i="5"/>
  <c r="AM492" i="5"/>
  <c r="AM472" i="5"/>
  <c r="AM401" i="5"/>
  <c r="AM131" i="5"/>
  <c r="AM468" i="5"/>
  <c r="AM234" i="5"/>
  <c r="AM173" i="5"/>
  <c r="AM359" i="5"/>
  <c r="AM384" i="5"/>
  <c r="AM399" i="5"/>
  <c r="AM137" i="5"/>
  <c r="AM523" i="5"/>
  <c r="AM460" i="5"/>
  <c r="AM496" i="5"/>
  <c r="AM477" i="5"/>
  <c r="AM317" i="5"/>
  <c r="AM203" i="5"/>
  <c r="AM403" i="5"/>
  <c r="AM310" i="5"/>
  <c r="AM43" i="5"/>
  <c r="AM505" i="5"/>
  <c r="AM113" i="5"/>
  <c r="AM294" i="5"/>
  <c r="AM52" i="5"/>
  <c r="AM247" i="5"/>
  <c r="AM45" i="5"/>
  <c r="AM495" i="5"/>
  <c r="AM415" i="5"/>
  <c r="AM475" i="5"/>
  <c r="AM461" i="5"/>
  <c r="AM500" i="5"/>
  <c r="AM67" i="5"/>
  <c r="AM338" i="5"/>
  <c r="AM229" i="5"/>
  <c r="AM138" i="5"/>
  <c r="AM165" i="5"/>
  <c r="AM554" i="5"/>
  <c r="AM559" i="5"/>
  <c r="AM442" i="5"/>
  <c r="AM279" i="5"/>
  <c r="AM352" i="5"/>
  <c r="AM115" i="5"/>
  <c r="AM453" i="5"/>
  <c r="AM97" i="5"/>
  <c r="AM158" i="5"/>
  <c r="AM356" i="5"/>
  <c r="AM220" i="5"/>
  <c r="AM19" i="5"/>
  <c r="AM510" i="5"/>
  <c r="AM389" i="5"/>
  <c r="AM293" i="5"/>
  <c r="AM102" i="5"/>
  <c r="AM90" i="5"/>
  <c r="AM163" i="5"/>
  <c r="AM127" i="5"/>
  <c r="AM94" i="5"/>
  <c r="AM335" i="5"/>
  <c r="AM27" i="5"/>
  <c r="AM291" i="5"/>
  <c r="AM357" i="5"/>
  <c r="AM343" i="5"/>
  <c r="AM382" i="5"/>
  <c r="AM526" i="5"/>
  <c r="AM464" i="5"/>
  <c r="AM320" i="5"/>
  <c r="AM292" i="5"/>
  <c r="AM273" i="5"/>
  <c r="AM519" i="5"/>
  <c r="AM283" i="5"/>
  <c r="AM309" i="5"/>
  <c r="AM408" i="5"/>
  <c r="AM217" i="5"/>
  <c r="AM455" i="5"/>
  <c r="AM469" i="5"/>
  <c r="AM463" i="5"/>
  <c r="AM396" i="5"/>
  <c r="AM66" i="5"/>
  <c r="AM230" i="5"/>
  <c r="AM61" i="5"/>
  <c r="AM513" i="5"/>
  <c r="AM340" i="5"/>
  <c r="AM120" i="5"/>
  <c r="AM497" i="5"/>
  <c r="AM88" i="5"/>
  <c r="AM179" i="5"/>
  <c r="AM42" i="5"/>
  <c r="AM365" i="5"/>
  <c r="AM53" i="5"/>
  <c r="AM136" i="5"/>
  <c r="AM82" i="5"/>
  <c r="AM333" i="5"/>
  <c r="AM543" i="5"/>
  <c r="AM146" i="5"/>
  <c r="AM426" i="5"/>
  <c r="AM129" i="5"/>
  <c r="AM332" i="5"/>
  <c r="AM56" i="5"/>
  <c r="AM354" i="5"/>
  <c r="AM149" i="5"/>
  <c r="AM112" i="5"/>
  <c r="AM125" i="5"/>
  <c r="AM366" i="5"/>
  <c r="AM482" i="5"/>
  <c r="AM255" i="5"/>
  <c r="AM116" i="5"/>
  <c r="AM337" i="5"/>
  <c r="AM393" i="5"/>
  <c r="AM55" i="5"/>
  <c r="AM155" i="5"/>
  <c r="AM459" i="5"/>
  <c r="AM135" i="5"/>
  <c r="AM258" i="5"/>
  <c r="AM32" i="5"/>
  <c r="AM194" i="5"/>
  <c r="AM95" i="5"/>
  <c r="AM263" i="5"/>
  <c r="AM324" i="5"/>
  <c r="AM348" i="5"/>
  <c r="AM259" i="5"/>
  <c r="AM239" i="5"/>
  <c r="AM228" i="5"/>
  <c r="AM287" i="5"/>
  <c r="AM213" i="5"/>
  <c r="AM481" i="5"/>
  <c r="AM299" i="5"/>
  <c r="AM243" i="5"/>
  <c r="AM509" i="5"/>
  <c r="AM10" i="5"/>
  <c r="AM369" i="5"/>
  <c r="AM39" i="5"/>
  <c r="AM537" i="5"/>
  <c r="AM499" i="5"/>
  <c r="AM110" i="5"/>
  <c r="AM81" i="5"/>
  <c r="AM248" i="5"/>
  <c r="AM370" i="5"/>
  <c r="AM437" i="5"/>
  <c r="AM548" i="5"/>
  <c r="AM73" i="5"/>
  <c r="AM206" i="5"/>
  <c r="AM342" i="5"/>
  <c r="AM236" i="5"/>
  <c r="AM485" i="5"/>
  <c r="AM542" i="5"/>
  <c r="AM434" i="5"/>
  <c r="AM517" i="5"/>
  <c r="AM184" i="5"/>
  <c r="AM431" i="5"/>
  <c r="AM456" i="5"/>
  <c r="AM26" i="5"/>
  <c r="AM336" i="5"/>
  <c r="AM50" i="5"/>
  <c r="AM85" i="5"/>
  <c r="AM105" i="5"/>
  <c r="AM302" i="5"/>
  <c r="AM64" i="5"/>
  <c r="AM297" i="5"/>
  <c r="AM327" i="5"/>
  <c r="AM316" i="5"/>
  <c r="AM34" i="5"/>
  <c r="AM264" i="5"/>
  <c r="AM387" i="5"/>
  <c r="AM65" i="5"/>
  <c r="AM198" i="5"/>
  <c r="AM556" i="5"/>
  <c r="AM383" i="5"/>
  <c r="AM363" i="5"/>
  <c r="AM440" i="5"/>
  <c r="AM145" i="5"/>
  <c r="AM107" i="5"/>
  <c r="AM186" i="5"/>
  <c r="AM398" i="5"/>
  <c r="AM169" i="5"/>
  <c r="AM536" i="5"/>
  <c r="AM368" i="5"/>
  <c r="AM400" i="5"/>
  <c r="AM36" i="5"/>
  <c r="AM325" i="5"/>
  <c r="AM386" i="5"/>
  <c r="AM46" i="5"/>
  <c r="AM439" i="5"/>
  <c r="AM144" i="5"/>
  <c r="AM101" i="5"/>
  <c r="AM304" i="5"/>
  <c r="AM362" i="5"/>
  <c r="AM108" i="5"/>
  <c r="AM12" i="5"/>
  <c r="AM457" i="5"/>
  <c r="AM530" i="5"/>
  <c r="AM170" i="5"/>
  <c r="AM419" i="5"/>
  <c r="AM319" i="5"/>
  <c r="AM249" i="5"/>
  <c r="AM196" i="5"/>
  <c r="AM267" i="5"/>
  <c r="AM233" i="5"/>
  <c r="AM552" i="5"/>
  <c r="AM244" i="5"/>
  <c r="AM176" i="5"/>
  <c r="AM502" i="5"/>
  <c r="AM290" i="5"/>
  <c r="AM413" i="5"/>
  <c r="AM462" i="5"/>
  <c r="AM410" i="5"/>
  <c r="AM318" i="5"/>
  <c r="AM515" i="5"/>
  <c r="AM219" i="5"/>
  <c r="AM262" i="5"/>
  <c r="AM334" i="5"/>
  <c r="AM358" i="5"/>
  <c r="AM533" i="5"/>
  <c r="AM555" i="5"/>
  <c r="AM402" i="5"/>
  <c r="AM438" i="5"/>
  <c r="AM284" i="5"/>
  <c r="AM181" i="5"/>
  <c r="AM547" i="5"/>
  <c r="AM535" i="5"/>
  <c r="AM529" i="5"/>
  <c r="AM22" i="5"/>
  <c r="AM311" i="5"/>
  <c r="AM189" i="5"/>
  <c r="AM372" i="5"/>
  <c r="AM433" i="5"/>
  <c r="AM98" i="5"/>
  <c r="AM225" i="5"/>
  <c r="AM444" i="5"/>
  <c r="AM134" i="5"/>
  <c r="AM301" i="5"/>
  <c r="AM153" i="5"/>
  <c r="AM260" i="5"/>
  <c r="AM544" i="5"/>
  <c r="AM326" i="5"/>
  <c r="AM432" i="5"/>
  <c r="AM524" i="5"/>
  <c r="AM512" i="5"/>
  <c r="AM281" i="5"/>
  <c r="AM454" i="5"/>
  <c r="AM154" i="5"/>
  <c r="AM491" i="5"/>
  <c r="AM69" i="5"/>
  <c r="AM178" i="5"/>
  <c r="AM159" i="5"/>
  <c r="AM344" i="5"/>
  <c r="AM195" i="5"/>
  <c r="AM353" i="5"/>
  <c r="AM54" i="5"/>
  <c r="AM545" i="5"/>
  <c r="AM313" i="5"/>
  <c r="AM160" i="5"/>
  <c r="AM416" i="5"/>
  <c r="AM109" i="5"/>
  <c r="AM425" i="5"/>
  <c r="AM275" i="5"/>
  <c r="AM13" i="5"/>
  <c r="AM421" i="5"/>
  <c r="AM276" i="5"/>
  <c r="AM193" i="5"/>
  <c r="AM504" i="5"/>
  <c r="AM306" i="5"/>
  <c r="AM479" i="5"/>
  <c r="AM450" i="5"/>
  <c r="AM541" i="5"/>
  <c r="AM328" i="5"/>
  <c r="AM448" i="5"/>
  <c r="AM295" i="5"/>
  <c r="AM394" i="5"/>
  <c r="AM177" i="5"/>
  <c r="AM312" i="5"/>
  <c r="AM28" i="5"/>
  <c r="AM209" i="5"/>
  <c r="AM215" i="5"/>
  <c r="AM152" i="5"/>
  <c r="AM38" i="5"/>
  <c r="AM192" i="5"/>
  <c r="AM202" i="5"/>
  <c r="AM164" i="5"/>
  <c r="AM474" i="5"/>
  <c r="AM183" i="5"/>
  <c r="AM503" i="5"/>
  <c r="AM72" i="5"/>
  <c r="AM241" i="5"/>
  <c r="AM446" i="5"/>
  <c r="AM473" i="5"/>
  <c r="AM143" i="5"/>
  <c r="AM329" i="5"/>
  <c r="AM240" i="5"/>
  <c r="AM286" i="5"/>
  <c r="AM265" i="5"/>
  <c r="AM140" i="5"/>
  <c r="AM557" i="5"/>
  <c r="AM447" i="5"/>
  <c r="AM452" i="5"/>
  <c r="AM494" i="5"/>
  <c r="AM106" i="5"/>
  <c r="AM427" i="5"/>
  <c r="AM41" i="5"/>
  <c r="AM375" i="5"/>
  <c r="AM84" i="5"/>
  <c r="AM420" i="5"/>
  <c r="AM62" i="5"/>
  <c r="AM412" i="5"/>
  <c r="AM148" i="5"/>
  <c r="AM216" i="5"/>
  <c r="AM30" i="5"/>
  <c r="AM222" i="5"/>
  <c r="AM33" i="5"/>
  <c r="AM187" i="5"/>
  <c r="AM200" i="5"/>
  <c r="AM308" i="5"/>
  <c r="AM266" i="5"/>
  <c r="AM404" i="5"/>
  <c r="AM162" i="5"/>
  <c r="AM377" i="5"/>
  <c r="AM77" i="5"/>
  <c r="AM166" i="5"/>
  <c r="AM355" i="5"/>
  <c r="AM190" i="5"/>
  <c r="AM252" i="5"/>
  <c r="AM558" i="5"/>
  <c r="AM104" i="5"/>
  <c r="AM274" i="5"/>
  <c r="AM68" i="5"/>
  <c r="AM37" i="5"/>
  <c r="AM251" i="5"/>
  <c r="AM451" i="5"/>
  <c r="AM151" i="5"/>
  <c r="AM237" i="5"/>
  <c r="AM551" i="5"/>
  <c r="AM560" i="5"/>
  <c r="AM411" i="5"/>
  <c r="AM397" i="5"/>
  <c r="AM78" i="5"/>
  <c r="Y344" i="5"/>
  <c r="X344" i="5"/>
  <c r="Y494" i="5"/>
  <c r="X494" i="5"/>
  <c r="Y463" i="5"/>
  <c r="X463" i="5"/>
  <c r="Y370" i="5"/>
  <c r="X370" i="5"/>
  <c r="Y13" i="5"/>
  <c r="X13" i="5"/>
  <c r="Y152" i="5"/>
  <c r="X152" i="5"/>
  <c r="X206" i="5"/>
  <c r="Y206" i="5"/>
  <c r="X137" i="5"/>
  <c r="Y137" i="5"/>
  <c r="Y218" i="5"/>
  <c r="X218" i="5"/>
  <c r="Y104" i="5"/>
  <c r="X104" i="5"/>
  <c r="X535" i="5"/>
  <c r="Y535" i="5"/>
  <c r="X230" i="5"/>
  <c r="Y230" i="5"/>
  <c r="Y292" i="5"/>
  <c r="X292" i="5"/>
  <c r="W9" i="5"/>
  <c r="T9" i="5"/>
  <c r="AG9" i="5"/>
  <c r="AZ9" i="5"/>
  <c r="Z9" i="5"/>
  <c r="AW9" i="5"/>
  <c r="AJ9" i="5"/>
  <c r="AT9" i="5"/>
  <c r="AM9" i="5"/>
  <c r="X43" i="5"/>
  <c r="Y43" i="5"/>
  <c r="X174" i="5"/>
  <c r="Y174" i="5"/>
  <c r="X430" i="5"/>
  <c r="Y430" i="5"/>
  <c r="X291" i="5"/>
  <c r="Y291" i="5"/>
  <c r="X260" i="5"/>
  <c r="Y260" i="5"/>
  <c r="Y529" i="5"/>
  <c r="X529" i="5"/>
  <c r="X163" i="5"/>
  <c r="Y163" i="5"/>
  <c r="Y57" i="5"/>
  <c r="X57" i="5"/>
  <c r="X113" i="5"/>
  <c r="Y113" i="5"/>
  <c r="X324" i="5"/>
  <c r="Y324" i="5"/>
  <c r="Y99" i="5"/>
  <c r="X99" i="5"/>
  <c r="Y277" i="5"/>
  <c r="X277" i="5"/>
  <c r="X201" i="5"/>
  <c r="Y201" i="5"/>
  <c r="X128" i="5"/>
  <c r="Y128" i="5"/>
  <c r="X41" i="5"/>
  <c r="Y41" i="5"/>
  <c r="Y479" i="5"/>
  <c r="X479" i="5"/>
  <c r="Y227" i="5"/>
  <c r="X227" i="5"/>
  <c r="X147" i="5"/>
  <c r="Y147" i="5"/>
  <c r="Y234" i="5"/>
  <c r="X234" i="5"/>
  <c r="Y560" i="5"/>
  <c r="X560" i="5"/>
  <c r="X54" i="5"/>
  <c r="Y54" i="5"/>
  <c r="Y559" i="5"/>
  <c r="X559" i="5"/>
  <c r="X285" i="5"/>
  <c r="Y285" i="5"/>
  <c r="X357" i="5"/>
  <c r="Y357" i="5"/>
  <c r="Y396" i="5"/>
  <c r="X396" i="5"/>
  <c r="X126" i="5"/>
  <c r="Y126" i="5"/>
  <c r="Y524" i="5"/>
  <c r="X524" i="5"/>
  <c r="X192" i="5"/>
  <c r="Y192" i="5"/>
  <c r="X8" i="5"/>
  <c r="Y8" i="5"/>
  <c r="Y254" i="5"/>
  <c r="X254" i="5"/>
  <c r="X373" i="5"/>
  <c r="Y373" i="5"/>
  <c r="Y276" i="5"/>
  <c r="X276" i="5"/>
  <c r="Y521" i="5"/>
  <c r="X521" i="5"/>
  <c r="X538" i="5"/>
  <c r="Y538" i="5"/>
  <c r="X484" i="5"/>
  <c r="Y484" i="5"/>
  <c r="Y290" i="5"/>
  <c r="X290" i="5"/>
  <c r="X550" i="5"/>
  <c r="Y550" i="5"/>
  <c r="Y547" i="5"/>
  <c r="X547" i="5"/>
  <c r="X241" i="5"/>
  <c r="Y241" i="5"/>
  <c r="X330" i="5"/>
  <c r="Y330" i="5"/>
  <c r="Y518" i="5"/>
  <c r="X518" i="5"/>
  <c r="X149" i="5"/>
  <c r="Y149" i="5"/>
  <c r="X554" i="5"/>
  <c r="Y554" i="5"/>
  <c r="Y361" i="5"/>
  <c r="X361" i="5"/>
  <c r="Y318" i="5"/>
  <c r="X318" i="5"/>
  <c r="Y455" i="5"/>
  <c r="X455" i="5"/>
  <c r="Y223" i="5"/>
  <c r="X223" i="5"/>
  <c r="X545" i="5"/>
  <c r="Y545" i="5"/>
  <c r="X338" i="5"/>
  <c r="Y338" i="5"/>
  <c r="X157" i="5"/>
  <c r="Y157" i="5"/>
  <c r="X503" i="5"/>
  <c r="Y503" i="5"/>
  <c r="Y558" i="5"/>
  <c r="X558" i="5"/>
  <c r="X119" i="5"/>
  <c r="Y119" i="5"/>
  <c r="Y481" i="5"/>
  <c r="X481" i="5"/>
  <c r="X332" i="5"/>
  <c r="Y332" i="5"/>
  <c r="Y191" i="5"/>
  <c r="X191" i="5"/>
  <c r="X76" i="5"/>
  <c r="Y76" i="5"/>
  <c r="Y281" i="5"/>
  <c r="X281" i="5"/>
  <c r="Y196" i="5"/>
  <c r="X196" i="5"/>
  <c r="Y452" i="5"/>
  <c r="X452" i="5"/>
  <c r="Y298" i="5"/>
  <c r="X298" i="5"/>
  <c r="Y461" i="5"/>
  <c r="X461" i="5"/>
  <c r="Y504" i="5"/>
  <c r="X504" i="5"/>
  <c r="X349" i="5"/>
  <c r="Y349" i="5"/>
  <c r="Y114" i="5"/>
  <c r="X114" i="5"/>
  <c r="Y394" i="5"/>
  <c r="X394" i="5"/>
  <c r="Y220" i="5"/>
  <c r="X220" i="5"/>
  <c r="X224" i="5"/>
  <c r="Y224" i="5"/>
  <c r="Y505" i="5"/>
  <c r="X505" i="5"/>
  <c r="X106" i="5"/>
  <c r="Y106" i="5"/>
  <c r="X302" i="5"/>
  <c r="Y302" i="5"/>
  <c r="X243" i="5"/>
  <c r="Y243" i="5"/>
  <c r="Y492" i="5"/>
  <c r="X492" i="5"/>
  <c r="X214" i="5"/>
  <c r="Y214" i="5"/>
  <c r="X549" i="5"/>
  <c r="Y549" i="5"/>
  <c r="X300" i="5"/>
  <c r="Y300" i="5"/>
  <c r="X37" i="5"/>
  <c r="Y37" i="5"/>
  <c r="Y553" i="5"/>
  <c r="X553" i="5"/>
  <c r="X426" i="5"/>
  <c r="Y426" i="5"/>
  <c r="Y60" i="5"/>
  <c r="X60" i="5"/>
  <c r="X476" i="5"/>
  <c r="Y476" i="5"/>
  <c r="Y70" i="5"/>
  <c r="X70" i="5"/>
  <c r="X69" i="5"/>
  <c r="Y69" i="5"/>
  <c r="X315" i="5"/>
  <c r="Y315" i="5"/>
  <c r="X271" i="5"/>
  <c r="Y271" i="5"/>
  <c r="X242" i="5"/>
  <c r="Y242" i="5"/>
  <c r="X433" i="5"/>
  <c r="Y433" i="5"/>
  <c r="X65" i="5"/>
  <c r="Y65" i="5"/>
  <c r="Y496" i="5"/>
  <c r="X496" i="5"/>
  <c r="Y80" i="5"/>
  <c r="X80" i="5"/>
  <c r="X556" i="5"/>
  <c r="Y556" i="5"/>
  <c r="X331" i="5"/>
  <c r="Y331" i="5"/>
  <c r="X238" i="5"/>
  <c r="Y238" i="5"/>
  <c r="X335" i="5"/>
  <c r="Y335" i="5"/>
  <c r="Y555" i="5"/>
  <c r="X555" i="5"/>
  <c r="X248" i="5"/>
  <c r="Y248" i="5"/>
  <c r="X352" i="5"/>
  <c r="Y352" i="5"/>
  <c r="Y440" i="5"/>
  <c r="X440" i="5"/>
  <c r="Y209" i="5"/>
  <c r="X209" i="5"/>
  <c r="X395" i="5"/>
  <c r="Y395" i="5"/>
  <c r="X507" i="5"/>
  <c r="Y507" i="5"/>
  <c r="X482" i="5"/>
  <c r="Y482" i="5"/>
  <c r="Y295" i="5"/>
  <c r="X295" i="5"/>
  <c r="X25" i="5"/>
  <c r="Y25" i="5"/>
  <c r="X296" i="5"/>
  <c r="Y296" i="5"/>
  <c r="X393" i="5"/>
  <c r="Y393" i="5"/>
  <c r="X121" i="5"/>
  <c r="Y121" i="5"/>
  <c r="Y166" i="5"/>
  <c r="X166" i="5"/>
  <c r="X30" i="5"/>
  <c r="Y30" i="5"/>
  <c r="Y198" i="5"/>
  <c r="X198" i="5"/>
  <c r="X36" i="5"/>
  <c r="Y36" i="5"/>
  <c r="Y110" i="5"/>
  <c r="X110" i="5"/>
  <c r="X415" i="5"/>
  <c r="Y415" i="5"/>
  <c r="Y217" i="5"/>
  <c r="X217" i="5"/>
  <c r="X253" i="5"/>
  <c r="Y253" i="5"/>
  <c r="Y115" i="5"/>
  <c r="X115" i="5"/>
  <c r="X381" i="5"/>
  <c r="Y381" i="5"/>
  <c r="X541" i="5"/>
  <c r="Y541" i="5"/>
  <c r="Y317" i="5"/>
  <c r="X317" i="5"/>
  <c r="X83" i="5"/>
  <c r="Y83" i="5"/>
  <c r="Y109" i="5"/>
  <c r="X109" i="5"/>
  <c r="X20" i="5"/>
  <c r="Y20" i="5"/>
  <c r="X249" i="5"/>
  <c r="Y249" i="5"/>
  <c r="AV81" i="4"/>
  <c r="U81" i="4"/>
  <c r="AV120" i="4"/>
  <c r="U120" i="4"/>
  <c r="AV117" i="4"/>
  <c r="U117" i="4"/>
  <c r="H29" i="1"/>
  <c r="K94" i="2"/>
  <c r="B84" i="2"/>
  <c r="B86" i="2" s="1"/>
  <c r="B87" i="2" s="1"/>
  <c r="H30" i="1" s="1"/>
  <c r="Y448" i="5"/>
  <c r="X448" i="5"/>
  <c r="X525" i="5"/>
  <c r="Y525" i="5"/>
  <c r="X22" i="5"/>
  <c r="Y22" i="5"/>
  <c r="Y333" i="5"/>
  <c r="X333" i="5"/>
  <c r="X500" i="5"/>
  <c r="Y500" i="5"/>
  <c r="Y103" i="5"/>
  <c r="X103" i="5"/>
  <c r="Y289" i="5"/>
  <c r="X289" i="5"/>
  <c r="Y404" i="5"/>
  <c r="X404" i="5"/>
  <c r="Y170" i="5"/>
  <c r="X170" i="5"/>
  <c r="Y287" i="5"/>
  <c r="X287" i="5"/>
  <c r="X389" i="5"/>
  <c r="Y389" i="5"/>
  <c r="X46" i="5"/>
  <c r="Y46" i="5"/>
  <c r="Y356" i="5"/>
  <c r="X356" i="5"/>
  <c r="X77" i="5"/>
  <c r="Y77" i="5"/>
  <c r="X58" i="5"/>
  <c r="Y58" i="5"/>
  <c r="X534" i="5"/>
  <c r="Y534" i="5"/>
  <c r="X50" i="5"/>
  <c r="Y50" i="5"/>
  <c r="X272" i="5"/>
  <c r="Y272" i="5"/>
  <c r="X355" i="5"/>
  <c r="Y355" i="5"/>
  <c r="X257" i="5"/>
  <c r="Y257" i="5"/>
  <c r="X364" i="5"/>
  <c r="Y364" i="5"/>
  <c r="X251" i="5"/>
  <c r="Y251" i="5"/>
  <c r="Y399" i="5"/>
  <c r="X399" i="5"/>
  <c r="Y464" i="5"/>
  <c r="X464" i="5"/>
  <c r="Y425" i="5"/>
  <c r="X425" i="5"/>
  <c r="Y40" i="5"/>
  <c r="X40" i="5"/>
  <c r="Y226" i="5"/>
  <c r="X226" i="5"/>
  <c r="Y150" i="5"/>
  <c r="X150" i="5"/>
  <c r="Y548" i="5"/>
  <c r="X548" i="5"/>
  <c r="Y105" i="5"/>
  <c r="X105" i="5"/>
  <c r="AV79" i="4"/>
  <c r="U79" i="4"/>
  <c r="AV151" i="4"/>
  <c r="U151" i="4"/>
  <c r="AV83" i="4"/>
  <c r="U83" i="4"/>
  <c r="AV28" i="4"/>
  <c r="U28" i="4"/>
  <c r="Y79" i="5"/>
  <c r="X79" i="5"/>
  <c r="X284" i="5"/>
  <c r="Y284" i="5"/>
  <c r="X96" i="5"/>
  <c r="Y96" i="5"/>
  <c r="X391" i="5"/>
  <c r="Y391" i="5"/>
  <c r="X129" i="5"/>
  <c r="Y129" i="5"/>
  <c r="Y387" i="5"/>
  <c r="X387" i="5"/>
  <c r="X530" i="5"/>
  <c r="Y530" i="5"/>
  <c r="X342" i="5"/>
  <c r="Y342" i="5"/>
  <c r="X528" i="5"/>
  <c r="Y528" i="5"/>
  <c r="X432" i="5"/>
  <c r="Y432" i="5"/>
  <c r="X134" i="5"/>
  <c r="Y134" i="5"/>
  <c r="X162" i="5"/>
  <c r="Y162" i="5"/>
  <c r="Y441" i="5"/>
  <c r="X441" i="5"/>
  <c r="Y194" i="5"/>
  <c r="X194" i="5"/>
  <c r="X252" i="5"/>
  <c r="Y252" i="5"/>
  <c r="X236" i="5"/>
  <c r="Y236" i="5"/>
  <c r="X222" i="5"/>
  <c r="Y222" i="5"/>
  <c r="X48" i="5"/>
  <c r="Y48" i="5"/>
  <c r="X63" i="5"/>
  <c r="Y63" i="5"/>
  <c r="X61" i="5"/>
  <c r="Y61" i="5"/>
  <c r="Y308" i="5"/>
  <c r="X308" i="5"/>
  <c r="X445" i="5"/>
  <c r="Y445" i="5"/>
  <c r="X457" i="5"/>
  <c r="Y457" i="5"/>
  <c r="Y120" i="5"/>
  <c r="X120" i="5"/>
  <c r="Y551" i="5"/>
  <c r="X551" i="5"/>
  <c r="Y509" i="5"/>
  <c r="X509" i="5"/>
  <c r="Y193" i="5"/>
  <c r="X193" i="5"/>
  <c r="X127" i="5"/>
  <c r="Y127" i="5"/>
  <c r="X188" i="5"/>
  <c r="Y188" i="5"/>
  <c r="Y510" i="5"/>
  <c r="X510" i="5"/>
  <c r="Y24" i="5"/>
  <c r="X24" i="5"/>
  <c r="Y539" i="5"/>
  <c r="X539" i="5"/>
  <c r="X161" i="5"/>
  <c r="Y161" i="5"/>
  <c r="Y270" i="5"/>
  <c r="X270" i="5"/>
  <c r="X72" i="5"/>
  <c r="Y72" i="5"/>
  <c r="X490" i="5"/>
  <c r="Y490" i="5"/>
  <c r="X108" i="5"/>
  <c r="Y108" i="5"/>
  <c r="X462" i="5"/>
  <c r="Y462" i="5"/>
  <c r="Y451" i="5"/>
  <c r="X451" i="5"/>
  <c r="Y97" i="5"/>
  <c r="X97" i="5"/>
  <c r="X405" i="5"/>
  <c r="Y405" i="5"/>
  <c r="Y495" i="5"/>
  <c r="X495" i="5"/>
  <c r="X183" i="5"/>
  <c r="Y183" i="5"/>
  <c r="Y82" i="5"/>
  <c r="X82" i="5"/>
  <c r="X33" i="5"/>
  <c r="Y33" i="5"/>
  <c r="X354" i="5"/>
  <c r="Y354" i="5"/>
  <c r="X56" i="5"/>
  <c r="Y56" i="5"/>
  <c r="X475" i="5"/>
  <c r="Y475" i="5"/>
  <c r="X523" i="5"/>
  <c r="Y523" i="5"/>
  <c r="Y299" i="5"/>
  <c r="X299" i="5"/>
  <c r="Y189" i="5"/>
  <c r="X189" i="5"/>
  <c r="Y67" i="5"/>
  <c r="X67" i="5"/>
  <c r="X374" i="5"/>
  <c r="Y374" i="5"/>
  <c r="Y468" i="5"/>
  <c r="X468" i="5"/>
  <c r="Y139" i="5"/>
  <c r="X139" i="5"/>
  <c r="Y421" i="5"/>
  <c r="X421" i="5"/>
  <c r="X469" i="5"/>
  <c r="Y469" i="5"/>
  <c r="X325" i="5"/>
  <c r="Y325" i="5"/>
  <c r="X123" i="5"/>
  <c r="Y123" i="5"/>
  <c r="Y517" i="5"/>
  <c r="X517" i="5"/>
  <c r="X138" i="5"/>
  <c r="Y138" i="5"/>
  <c r="Y59" i="5"/>
  <c r="X59" i="5"/>
  <c r="Y164" i="5"/>
  <c r="X164" i="5"/>
  <c r="X266" i="5"/>
  <c r="Y266" i="5"/>
  <c r="Y382" i="5"/>
  <c r="X382" i="5"/>
  <c r="Y62" i="5"/>
  <c r="X62" i="5"/>
  <c r="X506" i="5"/>
  <c r="Y506" i="5"/>
  <c r="X543" i="5"/>
  <c r="Y543" i="5"/>
  <c r="X282" i="5"/>
  <c r="Y282" i="5"/>
  <c r="X136" i="5"/>
  <c r="Y136" i="5"/>
  <c r="X273" i="5"/>
  <c r="Y273" i="5"/>
  <c r="X390" i="5"/>
  <c r="Y390" i="5"/>
  <c r="X350" i="5"/>
  <c r="Y350" i="5"/>
  <c r="Y228" i="5"/>
  <c r="X228" i="5"/>
  <c r="X467" i="5"/>
  <c r="Y467" i="5"/>
  <c r="X326" i="5"/>
  <c r="Y326" i="5"/>
  <c r="Y75" i="5"/>
  <c r="X75" i="5"/>
  <c r="Y294" i="5"/>
  <c r="X294" i="5"/>
  <c r="X178" i="5"/>
  <c r="Y178" i="5"/>
  <c r="Y491" i="5"/>
  <c r="X491" i="5"/>
  <c r="Y359" i="5"/>
  <c r="X359" i="5"/>
  <c r="Y385" i="5"/>
  <c r="X385" i="5"/>
  <c r="Y68" i="5"/>
  <c r="X68" i="5"/>
  <c r="X38" i="5"/>
  <c r="Y38" i="5"/>
  <c r="X542" i="5"/>
  <c r="Y542" i="5"/>
  <c r="X408" i="5"/>
  <c r="Y408" i="5"/>
  <c r="Y472" i="5"/>
  <c r="X472" i="5"/>
  <c r="X471" i="5"/>
  <c r="Y471" i="5"/>
  <c r="X29" i="5"/>
  <c r="Y29" i="5"/>
  <c r="X322" i="5"/>
  <c r="Y322" i="5"/>
  <c r="Y312" i="5"/>
  <c r="X312" i="5"/>
  <c r="X199" i="5"/>
  <c r="Y199" i="5"/>
  <c r="X34" i="5"/>
  <c r="Y34" i="5"/>
  <c r="X177" i="5"/>
  <c r="Y177" i="5"/>
  <c r="Y301" i="5"/>
  <c r="X301" i="5"/>
  <c r="X145" i="5"/>
  <c r="Y145" i="5"/>
  <c r="X269" i="5"/>
  <c r="Y269" i="5"/>
  <c r="X221" i="5"/>
  <c r="Y221" i="5"/>
  <c r="Y208" i="5"/>
  <c r="X208" i="5"/>
  <c r="X92" i="5"/>
  <c r="Y92" i="5"/>
  <c r="Y437" i="5"/>
  <c r="X437" i="5"/>
  <c r="X334" i="5"/>
  <c r="Y334" i="5"/>
  <c r="X74" i="5"/>
  <c r="Y74" i="5"/>
  <c r="X200" i="5"/>
  <c r="Y200" i="5"/>
  <c r="X246" i="5"/>
  <c r="Y246" i="5"/>
  <c r="Y348" i="5"/>
  <c r="X348" i="5"/>
  <c r="Y485" i="5"/>
  <c r="X485" i="5"/>
  <c r="X311" i="5"/>
  <c r="Y311" i="5"/>
  <c r="Y339" i="5"/>
  <c r="X339" i="5"/>
  <c r="Y160" i="5"/>
  <c r="X160" i="5"/>
  <c r="Y413" i="5"/>
  <c r="X413" i="5"/>
  <c r="Y379" i="5"/>
  <c r="X379" i="5"/>
  <c r="Y140" i="5"/>
  <c r="X140" i="5"/>
  <c r="X89" i="5"/>
  <c r="Y89" i="5"/>
  <c r="X466" i="5"/>
  <c r="Y466" i="5"/>
  <c r="Y229" i="5"/>
  <c r="X229" i="5"/>
  <c r="X168" i="5"/>
  <c r="Y168" i="5"/>
  <c r="Y416" i="5"/>
  <c r="X416" i="5"/>
  <c r="X499" i="5"/>
  <c r="Y499" i="5"/>
  <c r="X148" i="5"/>
  <c r="Y148" i="5"/>
  <c r="Y231" i="5"/>
  <c r="X231" i="5"/>
  <c r="R7" i="5"/>
  <c r="S7" i="5"/>
  <c r="AV74" i="4"/>
  <c r="U74" i="4"/>
  <c r="AV137" i="4"/>
  <c r="U137" i="4"/>
  <c r="AV126" i="4"/>
  <c r="U126" i="4"/>
  <c r="AV147" i="4"/>
  <c r="U147" i="4"/>
  <c r="AV121" i="4"/>
  <c r="U121" i="4"/>
  <c r="AV8" i="4"/>
  <c r="U8" i="4"/>
  <c r="AV94" i="4"/>
  <c r="U94" i="4"/>
  <c r="AV15" i="4"/>
  <c r="U15" i="4"/>
  <c r="AV59" i="4"/>
  <c r="U59" i="4"/>
  <c r="AV30" i="4"/>
  <c r="U30" i="4"/>
  <c r="AV93" i="4"/>
  <c r="U93" i="4"/>
  <c r="AV44" i="4"/>
  <c r="U44" i="4"/>
  <c r="AV145" i="4"/>
  <c r="U145" i="4"/>
  <c r="AV33" i="4"/>
  <c r="U33" i="4"/>
  <c r="AV31" i="4"/>
  <c r="U31" i="4"/>
  <c r="AV141" i="4"/>
  <c r="U141" i="4"/>
  <c r="AV67" i="4"/>
  <c r="U67" i="4"/>
  <c r="AV61" i="4"/>
  <c r="U61" i="4"/>
  <c r="AF11" i="5"/>
  <c r="AF9" i="5"/>
  <c r="AF94" i="5"/>
  <c r="AF395" i="5"/>
  <c r="AF391" i="5"/>
  <c r="AP391" i="5" s="1"/>
  <c r="AF497" i="5"/>
  <c r="AF523" i="5"/>
  <c r="AF342" i="5"/>
  <c r="AF499" i="5"/>
  <c r="AF56" i="5"/>
  <c r="AF258" i="5"/>
  <c r="AF524" i="5"/>
  <c r="AF414" i="5"/>
  <c r="AF33" i="5"/>
  <c r="AF245" i="5"/>
  <c r="AF277" i="5"/>
  <c r="AP277" i="5" s="1"/>
  <c r="AF517" i="5"/>
  <c r="AP517" i="5" s="1"/>
  <c r="AF452" i="5"/>
  <c r="AF496" i="5"/>
  <c r="AF136" i="5"/>
  <c r="AF513" i="5"/>
  <c r="AF461" i="5"/>
  <c r="AF232" i="5"/>
  <c r="AF250" i="5"/>
  <c r="AP250" i="5" s="1"/>
  <c r="AF511" i="5"/>
  <c r="AP511" i="5" s="1"/>
  <c r="AF321" i="5"/>
  <c r="AF167" i="5"/>
  <c r="AF29" i="5"/>
  <c r="AF77" i="5"/>
  <c r="AF440" i="5"/>
  <c r="AF164" i="5"/>
  <c r="AF371" i="5"/>
  <c r="AF281" i="5"/>
  <c r="AF292" i="5"/>
  <c r="AF330" i="5"/>
  <c r="AF43" i="5"/>
  <c r="AF364" i="5"/>
  <c r="AF148" i="5"/>
  <c r="AF454" i="5"/>
  <c r="AF460" i="5"/>
  <c r="AF495" i="5"/>
  <c r="AF98" i="5"/>
  <c r="AF539" i="5"/>
  <c r="AF445" i="5"/>
  <c r="AF55" i="5"/>
  <c r="AF360" i="5"/>
  <c r="AF412" i="5"/>
  <c r="AF427" i="5"/>
  <c r="AF305" i="5"/>
  <c r="AF146" i="5"/>
  <c r="AF288" i="5"/>
  <c r="AF131" i="5"/>
  <c r="AF112" i="5"/>
  <c r="AF189" i="5"/>
  <c r="AF551" i="5"/>
  <c r="AF139" i="5"/>
  <c r="AP139" i="5" s="1"/>
  <c r="AF104" i="5"/>
  <c r="AF177" i="5"/>
  <c r="AF210" i="5"/>
  <c r="AF500" i="5"/>
  <c r="AF243" i="5"/>
  <c r="AF205" i="5"/>
  <c r="AF278" i="5"/>
  <c r="AF172" i="5"/>
  <c r="AP172" i="5" s="1"/>
  <c r="AF393" i="5"/>
  <c r="AF366" i="5"/>
  <c r="AF347" i="5"/>
  <c r="AF127" i="5"/>
  <c r="AF89" i="5"/>
  <c r="AF153" i="5"/>
  <c r="AF208" i="5"/>
  <c r="AF256" i="5"/>
  <c r="AF255" i="5"/>
  <c r="AF234" i="5"/>
  <c r="AF116" i="5"/>
  <c r="AF532" i="5"/>
  <c r="AF415" i="5"/>
  <c r="AF100" i="5"/>
  <c r="AF537" i="5"/>
  <c r="AF544" i="5"/>
  <c r="AF310" i="5"/>
  <c r="AF430" i="5"/>
  <c r="AF142" i="5"/>
  <c r="AF357" i="5"/>
  <c r="AP357" i="5" s="1"/>
  <c r="AF138" i="5"/>
  <c r="AF548" i="5"/>
  <c r="AF318" i="5"/>
  <c r="AF85" i="5"/>
  <c r="AF542" i="5"/>
  <c r="AF370" i="5"/>
  <c r="AF308" i="5"/>
  <c r="AF465" i="5"/>
  <c r="AF467" i="5"/>
  <c r="AF451" i="5"/>
  <c r="AF408" i="5"/>
  <c r="AF163" i="5"/>
  <c r="AF122" i="5"/>
  <c r="AF203" i="5"/>
  <c r="AF76" i="5"/>
  <c r="AF118" i="5"/>
  <c r="AF443" i="5"/>
  <c r="AF257" i="5"/>
  <c r="AF268" i="5"/>
  <c r="AF30" i="5"/>
  <c r="AF401" i="5"/>
  <c r="AF295" i="5"/>
  <c r="AF252" i="5"/>
  <c r="AF550" i="5"/>
  <c r="AF506" i="5"/>
  <c r="AP506" i="5" s="1"/>
  <c r="AF486" i="5"/>
  <c r="AF394" i="5"/>
  <c r="AF425" i="5"/>
  <c r="AF19" i="5"/>
  <c r="AF212" i="5"/>
  <c r="AF135" i="5"/>
  <c r="AF488" i="5"/>
  <c r="AF510" i="5"/>
  <c r="AF231" i="5"/>
  <c r="AP231" i="5" s="1"/>
  <c r="AF490" i="5"/>
  <c r="AF93" i="5"/>
  <c r="AF435" i="5"/>
  <c r="AF267" i="5"/>
  <c r="AF346" i="5"/>
  <c r="AP346" i="5" s="1"/>
  <c r="AF265" i="5"/>
  <c r="AF241" i="5"/>
  <c r="AF140" i="5"/>
  <c r="AP140" i="5" s="1"/>
  <c r="AF507" i="5"/>
  <c r="AP507" i="5" s="1"/>
  <c r="AF62" i="5"/>
  <c r="AF319" i="5"/>
  <c r="AF128" i="5"/>
  <c r="AF291" i="5"/>
  <c r="AP291" i="5" s="1"/>
  <c r="AF32" i="5"/>
  <c r="AF555" i="5"/>
  <c r="AF389" i="5"/>
  <c r="AF156" i="5"/>
  <c r="AF133" i="5"/>
  <c r="AP133" i="5" s="1"/>
  <c r="AF424" i="5"/>
  <c r="AF477" i="5"/>
  <c r="AF260" i="5"/>
  <c r="AF194" i="5"/>
  <c r="AF325" i="5"/>
  <c r="AF242" i="5"/>
  <c r="AF399" i="5"/>
  <c r="AF527" i="5"/>
  <c r="AF63" i="5"/>
  <c r="AF480" i="5"/>
  <c r="AF505" i="5"/>
  <c r="AF458" i="5"/>
  <c r="AF478" i="5"/>
  <c r="AF36" i="5"/>
  <c r="AF201" i="5"/>
  <c r="AF181" i="5"/>
  <c r="AP181" i="5" s="1"/>
  <c r="AF361" i="5"/>
  <c r="AF372" i="5"/>
  <c r="AF52" i="5"/>
  <c r="AF459" i="5"/>
  <c r="AF132" i="5"/>
  <c r="AF190" i="5"/>
  <c r="AF45" i="5"/>
  <c r="AF247" i="5"/>
  <c r="AF279" i="5"/>
  <c r="AF46" i="5"/>
  <c r="AF134" i="5"/>
  <c r="AF368" i="5"/>
  <c r="AP368" i="5" s="1"/>
  <c r="AF123" i="5"/>
  <c r="AF73" i="5"/>
  <c r="AF403" i="5"/>
  <c r="AF538" i="5"/>
  <c r="AF48" i="5"/>
  <c r="AF166" i="5"/>
  <c r="AF26" i="5"/>
  <c r="AF8" i="5"/>
  <c r="AP8" i="5" s="1"/>
  <c r="AF540" i="5"/>
  <c r="AF374" i="5"/>
  <c r="AF326" i="5"/>
  <c r="AF99" i="5"/>
  <c r="AF526" i="5"/>
  <c r="AP526" i="5" s="1"/>
  <c r="AF207" i="5"/>
  <c r="AP207" i="5" s="1"/>
  <c r="AF290" i="5"/>
  <c r="AF546" i="5"/>
  <c r="AP546" i="5" s="1"/>
  <c r="AF334" i="5"/>
  <c r="AF547" i="5"/>
  <c r="AF441" i="5"/>
  <c r="AF58" i="5"/>
  <c r="AF110" i="5"/>
  <c r="AF187" i="5"/>
  <c r="AF312" i="5"/>
  <c r="AF313" i="5"/>
  <c r="AF314" i="5"/>
  <c r="AF417" i="5"/>
  <c r="AF66" i="5"/>
  <c r="AF554" i="5"/>
  <c r="AF385" i="5"/>
  <c r="AF447" i="5"/>
  <c r="AF516" i="5"/>
  <c r="AP516" i="5" s="1"/>
  <c r="AF240" i="5"/>
  <c r="AF323" i="5"/>
  <c r="AF283" i="5"/>
  <c r="AF87" i="5"/>
  <c r="AF178" i="5"/>
  <c r="AF558" i="5"/>
  <c r="AF453" i="5"/>
  <c r="AF31" i="5"/>
  <c r="AF333" i="5"/>
  <c r="AF216" i="5"/>
  <c r="AP216" i="5" s="1"/>
  <c r="AF404" i="5"/>
  <c r="AF350" i="5"/>
  <c r="AF282" i="5"/>
  <c r="AP282" i="5" s="1"/>
  <c r="AF429" i="5"/>
  <c r="AF175" i="5"/>
  <c r="AF154" i="5"/>
  <c r="AF533" i="5"/>
  <c r="AF434" i="5"/>
  <c r="AF126" i="5"/>
  <c r="AF125" i="5"/>
  <c r="AF525" i="5"/>
  <c r="AP525" i="5" s="1"/>
  <c r="AF504" i="5"/>
  <c r="AF348" i="5"/>
  <c r="AF23" i="5"/>
  <c r="AP23" i="5" s="1"/>
  <c r="AF387" i="5"/>
  <c r="AF161" i="5"/>
  <c r="AF42" i="5"/>
  <c r="AF469" i="5"/>
  <c r="AP469" i="5" s="1"/>
  <c r="AF124" i="5"/>
  <c r="AF419" i="5"/>
  <c r="AF158" i="5"/>
  <c r="AF339" i="5"/>
  <c r="AF185" i="5"/>
  <c r="AF222" i="5"/>
  <c r="AF428" i="5"/>
  <c r="AF392" i="5"/>
  <c r="AF448" i="5"/>
  <c r="AF474" i="5"/>
  <c r="AF439" i="5"/>
  <c r="AF108" i="5"/>
  <c r="AP108" i="5" s="1"/>
  <c r="AF302" i="5"/>
  <c r="AF20" i="5"/>
  <c r="AP20" i="5" s="1"/>
  <c r="AF151" i="5"/>
  <c r="AF522" i="5"/>
  <c r="AF472" i="5"/>
  <c r="AF549" i="5"/>
  <c r="AF70" i="5"/>
  <c r="AF237" i="5"/>
  <c r="AP237" i="5" s="1"/>
  <c r="AF317" i="5"/>
  <c r="AF160" i="5"/>
  <c r="AP160" i="5" s="1"/>
  <c r="AF214" i="5"/>
  <c r="AF444" i="5"/>
  <c r="AF179" i="5"/>
  <c r="AF503" i="5"/>
  <c r="AF236" i="5"/>
  <c r="AF307" i="5"/>
  <c r="AF437" i="5"/>
  <c r="AF479" i="5"/>
  <c r="AF191" i="5"/>
  <c r="AP191" i="5" s="1"/>
  <c r="AF41" i="5"/>
  <c r="AF229" i="5"/>
  <c r="AP229" i="5" s="1"/>
  <c r="AF320" i="5"/>
  <c r="AF143" i="5"/>
  <c r="AF249" i="5"/>
  <c r="AF359" i="5"/>
  <c r="AF388" i="5"/>
  <c r="AF211" i="5"/>
  <c r="AF107" i="5"/>
  <c r="AF315" i="5"/>
  <c r="AF462" i="5"/>
  <c r="AF384" i="5"/>
  <c r="AF455" i="5"/>
  <c r="AF200" i="5"/>
  <c r="AF246" i="5"/>
  <c r="AF114" i="5"/>
  <c r="AF433" i="5"/>
  <c r="AF489" i="5"/>
  <c r="AP489" i="5" s="1"/>
  <c r="AF520" i="5"/>
  <c r="AF91" i="5"/>
  <c r="AF529" i="5"/>
  <c r="AF299" i="5"/>
  <c r="AF117" i="5"/>
  <c r="AF294" i="5"/>
  <c r="AF109" i="5"/>
  <c r="AP109" i="5" s="1"/>
  <c r="AF543" i="5"/>
  <c r="AF426" i="5"/>
  <c r="AF121" i="5"/>
  <c r="AF235" i="5"/>
  <c r="AP235" i="5" s="1"/>
  <c r="AF206" i="5"/>
  <c r="AF416" i="5"/>
  <c r="AF369" i="5"/>
  <c r="AF176" i="5"/>
  <c r="AF335" i="5"/>
  <c r="AF223" i="5"/>
  <c r="AF204" i="5"/>
  <c r="AF141" i="5"/>
  <c r="AP141" i="5" s="1"/>
  <c r="AF218" i="5"/>
  <c r="AF51" i="5"/>
  <c r="AF367" i="5"/>
  <c r="AF173" i="5"/>
  <c r="AP173" i="5" s="1"/>
  <c r="AF336" i="5"/>
  <c r="AF88" i="5"/>
  <c r="AP88" i="5" s="1"/>
  <c r="AF103" i="5"/>
  <c r="AP103" i="5" s="1"/>
  <c r="AF483" i="5"/>
  <c r="AP483" i="5" s="1"/>
  <c r="AF39" i="5"/>
  <c r="AF180" i="5"/>
  <c r="AF423" i="5"/>
  <c r="AF261" i="5"/>
  <c r="AP261" i="5" s="1"/>
  <c r="AF402" i="5"/>
  <c r="AF209" i="5"/>
  <c r="AF457" i="5"/>
  <c r="AF251" i="5"/>
  <c r="AF274" i="5"/>
  <c r="AP274" i="5" s="1"/>
  <c r="AF239" i="5"/>
  <c r="AP239" i="5" s="1"/>
  <c r="AF409" i="5"/>
  <c r="AF199" i="5"/>
  <c r="AF196" i="5"/>
  <c r="AF13" i="5"/>
  <c r="AF220" i="5"/>
  <c r="AP220" i="5" s="1"/>
  <c r="AF411" i="5"/>
  <c r="AF309" i="5"/>
  <c r="AF28" i="5"/>
  <c r="AF470" i="5"/>
  <c r="AF188" i="5"/>
  <c r="AF170" i="5"/>
  <c r="AP170" i="5" s="1"/>
  <c r="AF553" i="5"/>
  <c r="AF338" i="5"/>
  <c r="AP338" i="5" s="1"/>
  <c r="AF446" i="5"/>
  <c r="AF145" i="5"/>
  <c r="AF390" i="5"/>
  <c r="AF502" i="5"/>
  <c r="AF501" i="5"/>
  <c r="AF244" i="5"/>
  <c r="AF60" i="5"/>
  <c r="AF287" i="5"/>
  <c r="AF79" i="5"/>
  <c r="AF150" i="5"/>
  <c r="AF54" i="5"/>
  <c r="AF464" i="5"/>
  <c r="AF159" i="5"/>
  <c r="AF80" i="5"/>
  <c r="AF284" i="5"/>
  <c r="AF442" i="5"/>
  <c r="AP442" i="5" s="1"/>
  <c r="AF400" i="5"/>
  <c r="AF183" i="5"/>
  <c r="AP183" i="5" s="1"/>
  <c r="AF491" i="5"/>
  <c r="AF47" i="5"/>
  <c r="AF397" i="5"/>
  <c r="AF171" i="5"/>
  <c r="AP171" i="5" s="1"/>
  <c r="AF262" i="5"/>
  <c r="AF410" i="5"/>
  <c r="AF61" i="5"/>
  <c r="AF345" i="5"/>
  <c r="AP345" i="5" s="1"/>
  <c r="AF82" i="5"/>
  <c r="AF67" i="5"/>
  <c r="AF221" i="5"/>
  <c r="AF168" i="5"/>
  <c r="AF269" i="5"/>
  <c r="AF485" i="5"/>
  <c r="AF119" i="5"/>
  <c r="AF463" i="5"/>
  <c r="AF53" i="5"/>
  <c r="AF137" i="5"/>
  <c r="AF494" i="5"/>
  <c r="AF536" i="5"/>
  <c r="AF50" i="5"/>
  <c r="AF322" i="5"/>
  <c r="AF72" i="5"/>
  <c r="AF431" i="5"/>
  <c r="AP431" i="5" s="1"/>
  <c r="AF92" i="5"/>
  <c r="AF406" i="5"/>
  <c r="AP406" i="5" s="1"/>
  <c r="AF195" i="5"/>
  <c r="AF213" i="5"/>
  <c r="AF353" i="5"/>
  <c r="AF259" i="5"/>
  <c r="AP259" i="5" s="1"/>
  <c r="AF86" i="5"/>
  <c r="AF197" i="5"/>
  <c r="AF271" i="5"/>
  <c r="AF528" i="5"/>
  <c r="AF280" i="5"/>
  <c r="AF436" i="5"/>
  <c r="AP436" i="5" s="1"/>
  <c r="AF186" i="5"/>
  <c r="AF130" i="5"/>
  <c r="AF481" i="5"/>
  <c r="AP481" i="5" s="1"/>
  <c r="AF296" i="5"/>
  <c r="AF398" i="5"/>
  <c r="AP398" i="5" s="1"/>
  <c r="AF456" i="5"/>
  <c r="AF101" i="5"/>
  <c r="AF381" i="5"/>
  <c r="AF450" i="5"/>
  <c r="AF383" i="5"/>
  <c r="AF65" i="5"/>
  <c r="AP65" i="5" s="1"/>
  <c r="AF303" i="5"/>
  <c r="AF147" i="5"/>
  <c r="AF157" i="5"/>
  <c r="AP157" i="5" s="1"/>
  <c r="AF351" i="5"/>
  <c r="AF421" i="5"/>
  <c r="AP421" i="5" s="1"/>
  <c r="AF75" i="5"/>
  <c r="AF306" i="5"/>
  <c r="AF68" i="5"/>
  <c r="AF169" i="5"/>
  <c r="AF521" i="5"/>
  <c r="AP521" i="5" s="1"/>
  <c r="AF219" i="5"/>
  <c r="AF377" i="5"/>
  <c r="AF515" i="5"/>
  <c r="AF354" i="5"/>
  <c r="AF418" i="5"/>
  <c r="AF396" i="5"/>
  <c r="AF129" i="5"/>
  <c r="AF152" i="5"/>
  <c r="AF7" i="5"/>
  <c r="AF59" i="5"/>
  <c r="AF438" i="5"/>
  <c r="AF174" i="5"/>
  <c r="AF289" i="5"/>
  <c r="AF328" i="5"/>
  <c r="AF182" i="5"/>
  <c r="AF484" i="5"/>
  <c r="AF466" i="5"/>
  <c r="AF40" i="5"/>
  <c r="AP40" i="5" s="1"/>
  <c r="AF362" i="5"/>
  <c r="AF230" i="5"/>
  <c r="AF329" i="5"/>
  <c r="AF519" i="5"/>
  <c r="AF78" i="5"/>
  <c r="AF363" i="5"/>
  <c r="AP363" i="5" s="1"/>
  <c r="AF44" i="5"/>
  <c r="AF90" i="5"/>
  <c r="AF253" i="5"/>
  <c r="AF380" i="5"/>
  <c r="AF468" i="5"/>
  <c r="AP468" i="5" s="1"/>
  <c r="AF365" i="5"/>
  <c r="AP365" i="5" s="1"/>
  <c r="AF341" i="5"/>
  <c r="AF297" i="5"/>
  <c r="AF373" i="5"/>
  <c r="AF22" i="5"/>
  <c r="AF304" i="5"/>
  <c r="AF165" i="5"/>
  <c r="AF449" i="5"/>
  <c r="AF331" i="5"/>
  <c r="AF106" i="5"/>
  <c r="AP106" i="5" s="1"/>
  <c r="AF69" i="5"/>
  <c r="AF96" i="5"/>
  <c r="AF115" i="5"/>
  <c r="AF263" i="5"/>
  <c r="AF413" i="5"/>
  <c r="AF508" i="5"/>
  <c r="AF275" i="5"/>
  <c r="AP275" i="5" s="1"/>
  <c r="AF24" i="5"/>
  <c r="AF552" i="5"/>
  <c r="AF530" i="5"/>
  <c r="AF316" i="5"/>
  <c r="AF254" i="5"/>
  <c r="AP254" i="5" s="1"/>
  <c r="AF270" i="5"/>
  <c r="AP270" i="5" s="1"/>
  <c r="AF81" i="5"/>
  <c r="AF83" i="5"/>
  <c r="AP83" i="5" s="1"/>
  <c r="AF405" i="5"/>
  <c r="AF215" i="5"/>
  <c r="AF272" i="5"/>
  <c r="AF337" i="5"/>
  <c r="AF162" i="5"/>
  <c r="AF298" i="5"/>
  <c r="AF25" i="5"/>
  <c r="AF102" i="5"/>
  <c r="AF266" i="5"/>
  <c r="AP266" i="5" s="1"/>
  <c r="AF224" i="5"/>
  <c r="AP224" i="5" s="1"/>
  <c r="AF386" i="5"/>
  <c r="AF476" i="5"/>
  <c r="AP476" i="5" s="1"/>
  <c r="AF286" i="5"/>
  <c r="AP286" i="5" s="1"/>
  <c r="AF541" i="5"/>
  <c r="AF293" i="5"/>
  <c r="AF120" i="5"/>
  <c r="AF560" i="5"/>
  <c r="AF74" i="5"/>
  <c r="AP74" i="5" s="1"/>
  <c r="AF352" i="5"/>
  <c r="AF10" i="5"/>
  <c r="AF38" i="5"/>
  <c r="AF557" i="5"/>
  <c r="AF407" i="5"/>
  <c r="AP407" i="5" s="1"/>
  <c r="AF349" i="5"/>
  <c r="AF311" i="5"/>
  <c r="AF192" i="5"/>
  <c r="AP192" i="5" s="1"/>
  <c r="AF514" i="5"/>
  <c r="AF226" i="5"/>
  <c r="AF498" i="5"/>
  <c r="AF238" i="5"/>
  <c r="AF84" i="5"/>
  <c r="AF471" i="5"/>
  <c r="AF57" i="5"/>
  <c r="AF518" i="5"/>
  <c r="AP518" i="5" s="1"/>
  <c r="AF531" i="5"/>
  <c r="AF422" i="5"/>
  <c r="AF356" i="5"/>
  <c r="AP356" i="5" s="1"/>
  <c r="AF35" i="5"/>
  <c r="AF378" i="5"/>
  <c r="AF276" i="5"/>
  <c r="AF64" i="5"/>
  <c r="AP64" i="5" s="1"/>
  <c r="AF355" i="5"/>
  <c r="AF358" i="5"/>
  <c r="AF332" i="5"/>
  <c r="AF193" i="5"/>
  <c r="AF509" i="5"/>
  <c r="AF225" i="5"/>
  <c r="AF327" i="5"/>
  <c r="AF198" i="5"/>
  <c r="AF482" i="5"/>
  <c r="AP482" i="5" s="1"/>
  <c r="AF264" i="5"/>
  <c r="AF37" i="5"/>
  <c r="AF473" i="5"/>
  <c r="AF144" i="5"/>
  <c r="AF228" i="5"/>
  <c r="AP228" i="5" s="1"/>
  <c r="AF97" i="5"/>
  <c r="AF27" i="5"/>
  <c r="AF379" i="5"/>
  <c r="AF49" i="5"/>
  <c r="AP49" i="5" s="1"/>
  <c r="AF556" i="5"/>
  <c r="AF375" i="5"/>
  <c r="AP375" i="5" s="1"/>
  <c r="AF248" i="5"/>
  <c r="AF71" i="5"/>
  <c r="AF534" i="5"/>
  <c r="AF492" i="5"/>
  <c r="AF559" i="5"/>
  <c r="AF545" i="5"/>
  <c r="AF344" i="5"/>
  <c r="AF111" i="5"/>
  <c r="AF340" i="5"/>
  <c r="AF113" i="5"/>
  <c r="AF512" i="5"/>
  <c r="AF155" i="5"/>
  <c r="AF285" i="5"/>
  <c r="AP285" i="5" s="1"/>
  <c r="AF149" i="5"/>
  <c r="AF12" i="5"/>
  <c r="AF227" i="5"/>
  <c r="AP227" i="5" s="1"/>
  <c r="AF493" i="5"/>
  <c r="AF432" i="5"/>
  <c r="AF105" i="5"/>
  <c r="AP105" i="5" s="1"/>
  <c r="AF34" i="5"/>
  <c r="AF21" i="5"/>
  <c r="AF233" i="5"/>
  <c r="AF273" i="5"/>
  <c r="AF535" i="5"/>
  <c r="AP535" i="5" s="1"/>
  <c r="AF324" i="5"/>
  <c r="AF382" i="5"/>
  <c r="AF343" i="5"/>
  <c r="AF475" i="5"/>
  <c r="AF202" i="5"/>
  <c r="AF300" i="5"/>
  <c r="AF217" i="5"/>
  <c r="AF184" i="5"/>
  <c r="AP184" i="5" s="1"/>
  <c r="AF420" i="5"/>
  <c r="AF376" i="5"/>
  <c r="AP376" i="5" s="1"/>
  <c r="AF301" i="5"/>
  <c r="AF95" i="5"/>
  <c r="AF487" i="5"/>
  <c r="AP487" i="5" s="1"/>
  <c r="Y428" i="5"/>
  <c r="X428" i="5"/>
  <c r="Y336" i="5"/>
  <c r="X336" i="5"/>
  <c r="X449" i="5"/>
  <c r="Y449" i="5"/>
  <c r="X424" i="5"/>
  <c r="Y424" i="5"/>
  <c r="Y456" i="5"/>
  <c r="X456" i="5"/>
  <c r="X340" i="5"/>
  <c r="Y340" i="5"/>
  <c r="X261" i="5"/>
  <c r="Y261" i="5"/>
  <c r="X439" i="5"/>
  <c r="Y439" i="5"/>
  <c r="X460" i="5"/>
  <c r="Y460" i="5"/>
  <c r="X514" i="5"/>
  <c r="Y514" i="5"/>
  <c r="Y213" i="5"/>
  <c r="X213" i="5"/>
  <c r="X444" i="5"/>
  <c r="Y444" i="5"/>
  <c r="Y181" i="5"/>
  <c r="X181" i="5"/>
  <c r="Y345" i="5"/>
  <c r="X345" i="5"/>
  <c r="Y53" i="5"/>
  <c r="X53" i="5"/>
  <c r="X124" i="5"/>
  <c r="Y124" i="5"/>
  <c r="X288" i="5"/>
  <c r="Y288" i="5"/>
  <c r="Y446" i="5"/>
  <c r="X446" i="5"/>
  <c r="X531" i="5"/>
  <c r="Y531" i="5"/>
  <c r="Y458" i="5"/>
  <c r="X458" i="5"/>
  <c r="X406" i="5"/>
  <c r="Y406" i="5"/>
  <c r="Y402" i="5"/>
  <c r="X402" i="5"/>
  <c r="X49" i="5"/>
  <c r="Y49" i="5"/>
  <c r="Y186" i="5"/>
  <c r="X186" i="5"/>
  <c r="X268" i="5"/>
  <c r="Y268" i="5"/>
  <c r="Y450" i="5"/>
  <c r="X450" i="5"/>
  <c r="X526" i="5"/>
  <c r="Y526" i="5"/>
  <c r="X32" i="5"/>
  <c r="Y32" i="5"/>
  <c r="X360" i="5"/>
  <c r="Y360" i="5"/>
  <c r="X392" i="5"/>
  <c r="Y392" i="5"/>
  <c r="Y487" i="5"/>
  <c r="X487" i="5"/>
  <c r="X279" i="5"/>
  <c r="Y279" i="5"/>
  <c r="X532" i="5"/>
  <c r="Y532" i="5"/>
  <c r="X536" i="5"/>
  <c r="Y536" i="5"/>
  <c r="Y447" i="5"/>
  <c r="X447" i="5"/>
  <c r="Y131" i="5"/>
  <c r="X131" i="5"/>
  <c r="X94" i="5"/>
  <c r="Y94" i="5"/>
  <c r="X169" i="5"/>
  <c r="Y169" i="5"/>
  <c r="Y519" i="5"/>
  <c r="X519" i="5"/>
  <c r="Y386" i="5"/>
  <c r="X386" i="5"/>
  <c r="X329" i="5"/>
  <c r="Y329" i="5"/>
  <c r="X93" i="5"/>
  <c r="Y93" i="5"/>
  <c r="Y122" i="5"/>
  <c r="X122" i="5"/>
  <c r="X369" i="5"/>
  <c r="Y369" i="5"/>
  <c r="B182" i="2"/>
  <c r="B171" i="2"/>
  <c r="B179" i="2" s="1"/>
  <c r="B186" i="2" s="1"/>
  <c r="AV85" i="4"/>
  <c r="U85" i="4"/>
  <c r="AV65" i="4"/>
  <c r="U65" i="4"/>
  <c r="AV146" i="4"/>
  <c r="U146" i="4"/>
  <c r="AV99" i="4"/>
  <c r="U99" i="4"/>
  <c r="AV64" i="4"/>
  <c r="U64" i="4"/>
  <c r="AV29" i="4"/>
  <c r="U29" i="4"/>
  <c r="AV98" i="4"/>
  <c r="U98" i="4"/>
  <c r="AV122" i="4"/>
  <c r="U122" i="4"/>
  <c r="AV129" i="4"/>
  <c r="U129" i="4"/>
  <c r="AV89" i="4"/>
  <c r="U89" i="4"/>
  <c r="AV136" i="4"/>
  <c r="U136" i="4"/>
  <c r="AV91" i="4"/>
  <c r="U91" i="4"/>
  <c r="AV109" i="4"/>
  <c r="U109" i="4"/>
  <c r="AV87" i="4"/>
  <c r="U87" i="4"/>
  <c r="AV113" i="4"/>
  <c r="U113" i="4"/>
  <c r="AV53" i="4"/>
  <c r="U53" i="4"/>
  <c r="AV34" i="4"/>
  <c r="U34" i="4"/>
  <c r="AV76" i="4"/>
  <c r="U76" i="4"/>
  <c r="AV41" i="4"/>
  <c r="U41" i="4"/>
  <c r="AV48" i="4"/>
  <c r="U48" i="4"/>
  <c r="AV37" i="4"/>
  <c r="U37" i="4"/>
  <c r="AV96" i="4"/>
  <c r="U96" i="4"/>
  <c r="AV68" i="4"/>
  <c r="U68" i="4"/>
  <c r="AV50" i="4"/>
  <c r="U50" i="4"/>
  <c r="AV56" i="4"/>
  <c r="U56" i="4"/>
  <c r="AV46" i="4"/>
  <c r="U46" i="4"/>
  <c r="AV102" i="4"/>
  <c r="U102" i="4"/>
  <c r="AV62" i="4"/>
  <c r="U62" i="4"/>
  <c r="U108" i="4"/>
  <c r="AV108" i="4"/>
  <c r="AV95" i="4"/>
  <c r="U95" i="4"/>
  <c r="AV39" i="4"/>
  <c r="U39" i="4"/>
  <c r="AV25" i="4"/>
  <c r="U25" i="4"/>
  <c r="U9" i="4"/>
  <c r="AV9" i="4"/>
  <c r="B39" i="5"/>
  <c r="B38" i="5"/>
  <c r="X26" i="5"/>
  <c r="Y26" i="5"/>
  <c r="X263" i="5"/>
  <c r="Y263" i="5"/>
  <c r="X321" i="5"/>
  <c r="Y321" i="5"/>
  <c r="Y102" i="5"/>
  <c r="X102" i="5"/>
  <c r="Y429" i="5"/>
  <c r="X429" i="5"/>
  <c r="X159" i="5"/>
  <c r="Y159" i="5"/>
  <c r="X362" i="5"/>
  <c r="Y362" i="5"/>
  <c r="X427" i="5"/>
  <c r="Y427" i="5"/>
  <c r="X401" i="5"/>
  <c r="Y401" i="5"/>
  <c r="X240" i="5"/>
  <c r="Y240" i="5"/>
  <c r="X153" i="5"/>
  <c r="Y153" i="5"/>
  <c r="Y478" i="5"/>
  <c r="X478" i="5"/>
  <c r="X244" i="5"/>
  <c r="Y244" i="5"/>
  <c r="Y313" i="5"/>
  <c r="X313" i="5"/>
  <c r="Y78" i="5"/>
  <c r="X78" i="5"/>
  <c r="X470" i="5"/>
  <c r="Y470" i="5"/>
  <c r="AV63" i="4"/>
  <c r="U63" i="4"/>
  <c r="AV119" i="4"/>
  <c r="U119" i="4"/>
  <c r="AV100" i="4"/>
  <c r="U100" i="4"/>
  <c r="AV43" i="4"/>
  <c r="U43" i="4"/>
  <c r="AV139" i="4"/>
  <c r="U139" i="4"/>
  <c r="AV130" i="4"/>
  <c r="U130" i="4"/>
  <c r="AV82" i="4"/>
  <c r="U82" i="4"/>
  <c r="U16" i="4"/>
  <c r="AV16" i="4"/>
  <c r="AV78" i="4"/>
  <c r="U78" i="4"/>
  <c r="AV105" i="4"/>
  <c r="U105" i="4"/>
  <c r="AV104" i="4"/>
  <c r="U104" i="4"/>
  <c r="AV55" i="4"/>
  <c r="U55" i="4"/>
  <c r="AV47" i="4"/>
  <c r="U47" i="4"/>
  <c r="AV135" i="4"/>
  <c r="U135" i="4"/>
  <c r="AV27" i="4"/>
  <c r="U27" i="4"/>
  <c r="AV20" i="4"/>
  <c r="U20" i="4"/>
  <c r="AV69" i="4"/>
  <c r="U69" i="4"/>
  <c r="AV140" i="4"/>
  <c r="U140" i="4"/>
  <c r="AV114" i="4"/>
  <c r="U114" i="4"/>
  <c r="AV88" i="4"/>
  <c r="U88" i="4"/>
  <c r="AV97" i="4"/>
  <c r="U97" i="4"/>
  <c r="AV106" i="4"/>
  <c r="U106" i="4"/>
  <c r="AV118" i="4"/>
  <c r="U118" i="4"/>
  <c r="AV128" i="4"/>
  <c r="U128" i="4"/>
  <c r="AV35" i="4"/>
  <c r="U35" i="4"/>
  <c r="AV144" i="4"/>
  <c r="U144" i="4"/>
  <c r="U24" i="4"/>
  <c r="AV24" i="4"/>
  <c r="AV84" i="4"/>
  <c r="U84" i="4"/>
  <c r="AV10" i="4"/>
  <c r="U10" i="4"/>
  <c r="AV148" i="4"/>
  <c r="U148" i="4"/>
  <c r="AV51" i="4"/>
  <c r="U51" i="4"/>
  <c r="AV70" i="4"/>
  <c r="U70" i="4"/>
  <c r="AV138" i="4"/>
  <c r="U138" i="4"/>
  <c r="AV57" i="4"/>
  <c r="U57" i="4"/>
  <c r="U54" i="4"/>
  <c r="AV54" i="4"/>
  <c r="AV150" i="4"/>
  <c r="U150" i="4"/>
  <c r="AV80" i="4"/>
  <c r="U80" i="4"/>
  <c r="U142" i="4"/>
  <c r="AV142" i="4"/>
  <c r="AC7" i="5"/>
  <c r="Y135" i="5"/>
  <c r="X135" i="5"/>
  <c r="X175" i="5"/>
  <c r="Y175" i="5"/>
  <c r="Y156" i="5"/>
  <c r="X156" i="5"/>
  <c r="X112" i="5"/>
  <c r="Y112" i="5"/>
  <c r="Y527" i="5"/>
  <c r="X527" i="5"/>
  <c r="Y411" i="5"/>
  <c r="X411" i="5"/>
  <c r="X116" i="5"/>
  <c r="Y116" i="5"/>
  <c r="X544" i="5"/>
  <c r="Y544" i="5"/>
  <c r="X398" i="5"/>
  <c r="Y398" i="5"/>
  <c r="X483" i="5"/>
  <c r="Y483" i="5"/>
  <c r="Y66" i="5"/>
  <c r="X66" i="5"/>
  <c r="Y397" i="5"/>
  <c r="X397" i="5"/>
  <c r="X81" i="5"/>
  <c r="Y81" i="5"/>
  <c r="Y27" i="5"/>
  <c r="X27" i="5"/>
  <c r="X190" i="5"/>
  <c r="Y190" i="5"/>
  <c r="X520" i="5"/>
  <c r="Y520" i="5"/>
  <c r="X55" i="5"/>
  <c r="Y55" i="5"/>
  <c r="Y210" i="5"/>
  <c r="X210" i="5"/>
  <c r="Y417" i="5"/>
  <c r="X417" i="5"/>
  <c r="X384" i="5"/>
  <c r="Y384" i="5"/>
  <c r="X337" i="5"/>
  <c r="Y337" i="5"/>
  <c r="X195" i="5"/>
  <c r="Y195" i="5"/>
  <c r="X219" i="5"/>
  <c r="Y219" i="5"/>
  <c r="Y118" i="5"/>
  <c r="X118" i="5"/>
  <c r="X378" i="5"/>
  <c r="Y378" i="5"/>
  <c r="X546" i="5"/>
  <c r="Y546" i="5"/>
  <c r="X275" i="5"/>
  <c r="Y275" i="5"/>
  <c r="X280" i="5"/>
  <c r="Y280" i="5"/>
  <c r="X372" i="5"/>
  <c r="Y372" i="5"/>
  <c r="X143" i="5"/>
  <c r="Y143" i="5"/>
  <c r="X493" i="5"/>
  <c r="Y493" i="5"/>
  <c r="X516" i="5"/>
  <c r="Y516" i="5"/>
  <c r="X155" i="5"/>
  <c r="Y155" i="5"/>
  <c r="X419" i="5"/>
  <c r="Y419" i="5"/>
  <c r="Y498" i="5"/>
  <c r="X498" i="5"/>
  <c r="Y283" i="5"/>
  <c r="X283" i="5"/>
  <c r="Y341" i="5"/>
  <c r="X341" i="5"/>
  <c r="Y205" i="5"/>
  <c r="X205" i="5"/>
  <c r="X319" i="5"/>
  <c r="Y319" i="5"/>
  <c r="X274" i="5"/>
  <c r="Y274" i="5"/>
  <c r="X259" i="5"/>
  <c r="Y259" i="5"/>
  <c r="Y184" i="5"/>
  <c r="X184" i="5"/>
  <c r="Y365" i="5"/>
  <c r="X365" i="5"/>
  <c r="X130" i="5"/>
  <c r="Y130" i="5"/>
  <c r="Y353" i="5"/>
  <c r="X353" i="5"/>
  <c r="Y320" i="5"/>
  <c r="X320" i="5"/>
  <c r="X171" i="5"/>
  <c r="Y171" i="5"/>
  <c r="X45" i="5"/>
  <c r="Y45" i="5"/>
  <c r="Y86" i="5"/>
  <c r="X86" i="5"/>
  <c r="Y146" i="5"/>
  <c r="X146" i="5"/>
  <c r="X377" i="5"/>
  <c r="Y377" i="5"/>
  <c r="X286" i="5"/>
  <c r="Y286" i="5"/>
  <c r="X477" i="5"/>
  <c r="Y477" i="5"/>
  <c r="Y557" i="5"/>
  <c r="X557" i="5"/>
  <c r="Y383" i="5"/>
  <c r="X383" i="5"/>
  <c r="X21" i="5"/>
  <c r="Y21" i="5"/>
  <c r="Y73" i="5"/>
  <c r="X73" i="5"/>
  <c r="X39" i="5"/>
  <c r="Y39" i="5"/>
  <c r="X366" i="5"/>
  <c r="Y366" i="5"/>
  <c r="X328" i="5"/>
  <c r="Y328" i="5"/>
  <c r="Y306" i="5"/>
  <c r="X306" i="5"/>
  <c r="X125" i="5"/>
  <c r="Y125" i="5"/>
  <c r="Y71" i="5"/>
  <c r="X71" i="5"/>
  <c r="Y403" i="5"/>
  <c r="X403" i="5"/>
  <c r="X88" i="5"/>
  <c r="Y88" i="5"/>
  <c r="X304" i="5"/>
  <c r="Y304" i="5"/>
  <c r="X488" i="5"/>
  <c r="Y488" i="5"/>
  <c r="Y346" i="5"/>
  <c r="X346" i="5"/>
  <c r="X265" i="5"/>
  <c r="Y265" i="5"/>
  <c r="Y309" i="5"/>
  <c r="X309" i="5"/>
  <c r="Y85" i="5"/>
  <c r="X85" i="5"/>
  <c r="X459" i="5"/>
  <c r="Y459" i="5"/>
  <c r="Y442" i="5"/>
  <c r="X442" i="5"/>
  <c r="Y307" i="5"/>
  <c r="X307" i="5"/>
  <c r="X64" i="5"/>
  <c r="Y64" i="5"/>
  <c r="Y247" i="5"/>
  <c r="X247" i="5"/>
  <c r="X167" i="5"/>
  <c r="Y167" i="5"/>
  <c r="X465" i="5"/>
  <c r="Y465" i="5"/>
  <c r="Y435" i="5"/>
  <c r="X435" i="5"/>
  <c r="X420" i="5"/>
  <c r="Y420" i="5"/>
  <c r="Y47" i="5"/>
  <c r="X47" i="5"/>
  <c r="X235" i="5"/>
  <c r="Y235" i="5"/>
  <c r="X245" i="5"/>
  <c r="Y245" i="5"/>
  <c r="Y31" i="5"/>
  <c r="X31" i="5"/>
  <c r="X216" i="5"/>
  <c r="Y216" i="5"/>
  <c r="X204" i="5"/>
  <c r="Y204" i="5"/>
  <c r="X371" i="5"/>
  <c r="Y371" i="5"/>
  <c r="X117" i="5"/>
  <c r="Y117" i="5"/>
  <c r="Y486" i="5"/>
  <c r="X486" i="5"/>
  <c r="X358" i="5"/>
  <c r="Y358" i="5"/>
  <c r="X434" i="5"/>
  <c r="Y434" i="5"/>
  <c r="Y256" i="5"/>
  <c r="X256" i="5"/>
  <c r="Y454" i="5"/>
  <c r="X454" i="5"/>
  <c r="X44" i="5"/>
  <c r="Y44" i="5"/>
  <c r="X158" i="5"/>
  <c r="Y158" i="5"/>
  <c r="X537" i="5"/>
  <c r="Y537" i="5"/>
  <c r="Y453" i="5"/>
  <c r="X453" i="5"/>
  <c r="X423" i="5"/>
  <c r="Y423" i="5"/>
  <c r="X90" i="5"/>
  <c r="Y90" i="5"/>
  <c r="X154" i="5"/>
  <c r="Y154" i="5"/>
  <c r="X182" i="5"/>
  <c r="Y182" i="5"/>
  <c r="X508" i="5"/>
  <c r="Y508" i="5"/>
  <c r="Y87" i="5"/>
  <c r="X87" i="5"/>
  <c r="X375" i="5"/>
  <c r="Y375" i="5"/>
  <c r="Y474" i="5"/>
  <c r="X474" i="5"/>
  <c r="X380" i="5"/>
  <c r="Y380" i="5"/>
  <c r="Y473" i="5"/>
  <c r="X473" i="5"/>
  <c r="X409" i="5"/>
  <c r="Y409" i="5"/>
  <c r="Y327" i="5"/>
  <c r="X327" i="5"/>
  <c r="Y412" i="5"/>
  <c r="X412" i="5"/>
  <c r="Y314" i="5"/>
  <c r="X314" i="5"/>
  <c r="X540" i="5"/>
  <c r="Y540" i="5"/>
  <c r="Y52" i="5"/>
  <c r="X52" i="5"/>
  <c r="X438" i="5"/>
  <c r="Y438" i="5"/>
  <c r="X351" i="5"/>
  <c r="Y351" i="5"/>
  <c r="X278" i="5"/>
  <c r="Y278" i="5"/>
  <c r="Y142" i="5"/>
  <c r="X142" i="5"/>
  <c r="Y133" i="5"/>
  <c r="X133" i="5"/>
  <c r="X443" i="5"/>
  <c r="Y443" i="5"/>
  <c r="X84" i="5"/>
  <c r="Y84" i="5"/>
  <c r="X414" i="5"/>
  <c r="Y414" i="5"/>
  <c r="Y552" i="5"/>
  <c r="X552" i="5"/>
  <c r="Y422" i="5"/>
  <c r="X422" i="5"/>
  <c r="Y42" i="5"/>
  <c r="X42" i="5"/>
  <c r="X144" i="5"/>
  <c r="Y144" i="5"/>
  <c r="Y297" i="5"/>
  <c r="X297" i="5"/>
  <c r="X293" i="5"/>
  <c r="Y293" i="5"/>
  <c r="X207" i="5"/>
  <c r="Y207" i="5"/>
  <c r="Y497" i="5"/>
  <c r="X497" i="5"/>
  <c r="X239" i="5"/>
  <c r="Y239" i="5"/>
  <c r="X305" i="5"/>
  <c r="Y305" i="5"/>
  <c r="Y212" i="5"/>
  <c r="X212" i="5"/>
  <c r="X511" i="5"/>
  <c r="Y511" i="5"/>
  <c r="Y262" i="5"/>
  <c r="X262" i="5"/>
  <c r="X410" i="5"/>
  <c r="Y410" i="5"/>
  <c r="X436" i="5"/>
  <c r="Y436" i="5"/>
  <c r="AP456" i="5" l="1"/>
  <c r="AP541" i="5"/>
  <c r="AP53" i="5"/>
  <c r="AP467" i="5"/>
  <c r="AP213" i="5"/>
  <c r="AP336" i="5"/>
  <c r="AP178" i="5"/>
  <c r="AP21" i="5"/>
  <c r="AP379" i="5"/>
  <c r="AP380" i="5"/>
  <c r="AP92" i="5"/>
  <c r="BI92" i="5" s="1"/>
  <c r="AP478" i="5"/>
  <c r="AP415" i="5"/>
  <c r="AP112" i="5"/>
  <c r="AP253" i="5"/>
  <c r="AP515" i="5"/>
  <c r="AP344" i="5"/>
  <c r="AP331" i="5"/>
  <c r="AP298" i="5"/>
  <c r="AP550" i="5"/>
  <c r="AP339" i="5"/>
  <c r="AP399" i="5"/>
  <c r="AP490" i="5"/>
  <c r="BI490" i="5" s="1"/>
  <c r="AP128" i="5"/>
  <c r="AP480" i="5"/>
  <c r="AP536" i="5"/>
  <c r="AP292" i="5"/>
  <c r="AP418" i="5"/>
  <c r="AP367" i="5"/>
  <c r="AP241" i="5"/>
  <c r="AP244" i="5"/>
  <c r="AP387" i="5"/>
  <c r="AP358" i="5"/>
  <c r="AP82" i="5"/>
  <c r="AQ82" i="5" s="1"/>
  <c r="AP117" i="5"/>
  <c r="AR117" i="5" s="1"/>
  <c r="AP222" i="5"/>
  <c r="AR222" i="5" s="1"/>
  <c r="AP243" i="5"/>
  <c r="AQ243" i="5" s="1"/>
  <c r="AP414" i="5"/>
  <c r="AP560" i="5"/>
  <c r="AP86" i="5"/>
  <c r="AP31" i="5"/>
  <c r="AP508" i="5"/>
  <c r="AP306" i="5"/>
  <c r="AP135" i="5"/>
  <c r="AP101" i="5"/>
  <c r="AP263" i="5"/>
  <c r="BI263" i="5" s="1"/>
  <c r="AP129" i="5"/>
  <c r="AQ129" i="5" s="1"/>
  <c r="AP124" i="5"/>
  <c r="BI124" i="5" s="1"/>
  <c r="AP99" i="5"/>
  <c r="AR99" i="5" s="1"/>
  <c r="AP397" i="5"/>
  <c r="AR397" i="5" s="1"/>
  <c r="AP134" i="5"/>
  <c r="AP496" i="5"/>
  <c r="AP512" i="5"/>
  <c r="AP119" i="5"/>
  <c r="AP287" i="5"/>
  <c r="AQ287" i="5" s="1"/>
  <c r="AP175" i="5"/>
  <c r="BI175" i="5" s="1"/>
  <c r="AP477" i="5"/>
  <c r="BI477" i="5" s="1"/>
  <c r="AP215" i="5"/>
  <c r="BI215" i="5" s="1"/>
  <c r="AP420" i="5"/>
  <c r="AQ420" i="5" s="1"/>
  <c r="AP111" i="5"/>
  <c r="BI111" i="5" s="1"/>
  <c r="AP27" i="5"/>
  <c r="AQ27" i="5" s="1"/>
  <c r="AP193" i="5"/>
  <c r="AQ193" i="5" s="1"/>
  <c r="AP543" i="5"/>
  <c r="AP147" i="5"/>
  <c r="AP471" i="5"/>
  <c r="AP400" i="5"/>
  <c r="AP26" i="5"/>
  <c r="BI26" i="5" s="1"/>
  <c r="AP246" i="5"/>
  <c r="AQ246" i="5" s="1"/>
  <c r="AP432" i="5"/>
  <c r="AR432" i="5" s="1"/>
  <c r="AP352" i="5"/>
  <c r="AR352" i="5" s="1"/>
  <c r="AP449" i="5"/>
  <c r="AQ449" i="5" s="1"/>
  <c r="AP289" i="5"/>
  <c r="BI289" i="5" s="1"/>
  <c r="AP528" i="5"/>
  <c r="AR528" i="5" s="1"/>
  <c r="AP203" i="5"/>
  <c r="AR203" i="5" s="1"/>
  <c r="AP559" i="5"/>
  <c r="AP223" i="5"/>
  <c r="AP132" i="5"/>
  <c r="AP138" i="5"/>
  <c r="AP493" i="5"/>
  <c r="AQ493" i="5" s="1"/>
  <c r="AP473" i="5"/>
  <c r="AQ473" i="5" s="1"/>
  <c r="AP304" i="5"/>
  <c r="BI304" i="5" s="1"/>
  <c r="AP438" i="5"/>
  <c r="AQ438" i="5" s="1"/>
  <c r="AP197" i="5"/>
  <c r="BI197" i="5" s="1"/>
  <c r="AP80" i="5"/>
  <c r="BI80" i="5" s="1"/>
  <c r="AP472" i="5"/>
  <c r="AR472" i="5" s="1"/>
  <c r="AP538" i="5"/>
  <c r="BI538" i="5" s="1"/>
  <c r="AP256" i="5"/>
  <c r="AP43" i="5"/>
  <c r="AP202" i="5"/>
  <c r="AP343" i="5"/>
  <c r="AP534" i="5"/>
  <c r="AQ534" i="5" s="1"/>
  <c r="AP519" i="5"/>
  <c r="AR519" i="5" s="1"/>
  <c r="AP522" i="5"/>
  <c r="BI522" i="5" s="1"/>
  <c r="AP52" i="5"/>
  <c r="AQ52" i="5" s="1"/>
  <c r="AP330" i="5"/>
  <c r="AQ330" i="5" s="1"/>
  <c r="AP143" i="5"/>
  <c r="BI143" i="5" s="1"/>
  <c r="AP98" i="5"/>
  <c r="BI98" i="5" s="1"/>
  <c r="AP470" i="5"/>
  <c r="AQ470" i="5" s="1"/>
  <c r="AP70" i="5"/>
  <c r="AP146" i="5"/>
  <c r="AP321" i="5"/>
  <c r="AP466" i="5"/>
  <c r="AP96" i="5"/>
  <c r="AQ96" i="5" s="1"/>
  <c r="AP95" i="5"/>
  <c r="AQ95" i="5" s="1"/>
  <c r="AP34" i="5"/>
  <c r="AQ34" i="5" s="1"/>
  <c r="AP198" i="5"/>
  <c r="AR198" i="5" s="1"/>
  <c r="AP57" i="5"/>
  <c r="BI57" i="5" s="1"/>
  <c r="AP341" i="5"/>
  <c r="AQ341" i="5" s="1"/>
  <c r="AP182" i="5"/>
  <c r="AR182" i="5" s="1"/>
  <c r="AP303" i="5"/>
  <c r="AR303" i="5" s="1"/>
  <c r="AP463" i="5"/>
  <c r="AP150" i="5"/>
  <c r="AP309" i="5"/>
  <c r="AP317" i="5"/>
  <c r="AP302" i="5"/>
  <c r="AR302" i="5" s="1"/>
  <c r="AP533" i="5"/>
  <c r="AR533" i="5" s="1"/>
  <c r="AP194" i="5"/>
  <c r="BI194" i="5" s="1"/>
  <c r="AP465" i="5"/>
  <c r="AQ465" i="5" s="1"/>
  <c r="AP131" i="5"/>
  <c r="AQ131" i="5" s="1"/>
  <c r="AP445" i="5"/>
  <c r="BI445" i="5" s="1"/>
  <c r="AP29" i="5"/>
  <c r="AR29" i="5" s="1"/>
  <c r="AP395" i="5"/>
  <c r="AQ395" i="5" s="1"/>
  <c r="AP378" i="5"/>
  <c r="AP293" i="5"/>
  <c r="AP81" i="5"/>
  <c r="AP130" i="5"/>
  <c r="AP121" i="5"/>
  <c r="BI121" i="5" s="1"/>
  <c r="AP236" i="5"/>
  <c r="AQ236" i="5" s="1"/>
  <c r="AP439" i="5"/>
  <c r="BI439" i="5" s="1"/>
  <c r="AP158" i="5"/>
  <c r="AR158" i="5" s="1"/>
  <c r="AP453" i="5"/>
  <c r="AR453" i="5" s="1"/>
  <c r="AP212" i="5"/>
  <c r="AQ212" i="5" s="1"/>
  <c r="AP370" i="5"/>
  <c r="AQ370" i="5" s="1"/>
  <c r="AP234" i="5"/>
  <c r="AR234" i="5" s="1"/>
  <c r="AP382" i="5"/>
  <c r="AP509" i="5"/>
  <c r="AP35" i="5"/>
  <c r="AP238" i="5"/>
  <c r="AP557" i="5"/>
  <c r="BI557" i="5" s="1"/>
  <c r="AP230" i="5"/>
  <c r="AR230" i="5" s="1"/>
  <c r="AP174" i="5"/>
  <c r="AR174" i="5" s="1"/>
  <c r="AP354" i="5"/>
  <c r="AR354" i="5" s="1"/>
  <c r="AP450" i="5"/>
  <c r="AQ450" i="5" s="1"/>
  <c r="AP50" i="5"/>
  <c r="BI50" i="5" s="1"/>
  <c r="AP269" i="5"/>
  <c r="AR269" i="5" s="1"/>
  <c r="AP426" i="5"/>
  <c r="BI426" i="5" s="1"/>
  <c r="AP474" i="5"/>
  <c r="AP385" i="5"/>
  <c r="AP48" i="5"/>
  <c r="AP279" i="5"/>
  <c r="AP361" i="5"/>
  <c r="AR361" i="5" s="1"/>
  <c r="AP63" i="5"/>
  <c r="AR63" i="5" s="1"/>
  <c r="AP424" i="5"/>
  <c r="AR424" i="5" s="1"/>
  <c r="AP319" i="5"/>
  <c r="AQ319" i="5" s="1"/>
  <c r="AP19" i="5"/>
  <c r="AR19" i="5" s="1"/>
  <c r="AP122" i="5"/>
  <c r="BI122" i="5" s="1"/>
  <c r="AP310" i="5"/>
  <c r="AR310" i="5" s="1"/>
  <c r="AP393" i="5"/>
  <c r="AR393" i="5" s="1"/>
  <c r="AP305" i="5"/>
  <c r="AP499" i="5"/>
  <c r="AP217" i="5"/>
  <c r="AP273" i="5"/>
  <c r="AP332" i="5"/>
  <c r="BI332" i="5" s="1"/>
  <c r="AP226" i="5"/>
  <c r="AQ226" i="5" s="1"/>
  <c r="AP59" i="5"/>
  <c r="BI59" i="5" s="1"/>
  <c r="AP351" i="5"/>
  <c r="AQ351" i="5" s="1"/>
  <c r="AP221" i="5"/>
  <c r="AR221" i="5" s="1"/>
  <c r="AP433" i="5"/>
  <c r="BI433" i="5" s="1"/>
  <c r="AP87" i="5"/>
  <c r="BI87" i="5" s="1"/>
  <c r="AP403" i="5"/>
  <c r="BI403" i="5" s="1"/>
  <c r="AP201" i="5"/>
  <c r="AP268" i="5"/>
  <c r="AP408" i="5"/>
  <c r="AP537" i="5"/>
  <c r="AP208" i="5"/>
  <c r="AR208" i="5" s="1"/>
  <c r="AP412" i="5"/>
  <c r="BI412" i="5" s="1"/>
  <c r="AP245" i="5"/>
  <c r="AR245" i="5" s="1"/>
  <c r="AP233" i="5"/>
  <c r="AQ233" i="5" s="1"/>
  <c r="AP149" i="5"/>
  <c r="BI149" i="5" s="1"/>
  <c r="AP545" i="5"/>
  <c r="AQ545" i="5" s="1"/>
  <c r="AP272" i="5"/>
  <c r="AR272" i="5" s="1"/>
  <c r="AP373" i="5"/>
  <c r="BI373" i="5" s="1"/>
  <c r="AP44" i="5"/>
  <c r="AP137" i="5"/>
  <c r="AP67" i="5"/>
  <c r="AP464" i="5"/>
  <c r="AP502" i="5"/>
  <c r="AR502" i="5" s="1"/>
  <c r="AP423" i="5"/>
  <c r="BI423" i="5" s="1"/>
  <c r="AP114" i="5"/>
  <c r="BI114" i="5" s="1"/>
  <c r="AP214" i="5"/>
  <c r="AQ214" i="5" s="1"/>
  <c r="AP428" i="5"/>
  <c r="AQ428" i="5" s="1"/>
  <c r="AP42" i="5"/>
  <c r="AR42" i="5" s="1"/>
  <c r="AP126" i="5"/>
  <c r="AR126" i="5" s="1"/>
  <c r="AP283" i="5"/>
  <c r="AR283" i="5" s="1"/>
  <c r="AP417" i="5"/>
  <c r="AP374" i="5"/>
  <c r="AP190" i="5"/>
  <c r="AP36" i="5"/>
  <c r="AP389" i="5"/>
  <c r="AQ389" i="5" s="1"/>
  <c r="AP486" i="5"/>
  <c r="BI486" i="5" s="1"/>
  <c r="AP257" i="5"/>
  <c r="BI257" i="5" s="1"/>
  <c r="AP451" i="5"/>
  <c r="AQ451" i="5" s="1"/>
  <c r="AP548" i="5"/>
  <c r="AR548" i="5" s="1"/>
  <c r="AP100" i="5"/>
  <c r="AR100" i="5" s="1"/>
  <c r="AP153" i="5"/>
  <c r="AR153" i="5" s="1"/>
  <c r="AP189" i="5"/>
  <c r="BI189" i="5" s="1"/>
  <c r="AP440" i="5"/>
  <c r="AP461" i="5"/>
  <c r="X80" i="4"/>
  <c r="AJ80" i="4" s="1"/>
  <c r="X91" i="4"/>
  <c r="X33" i="4"/>
  <c r="AA33" i="4" s="1"/>
  <c r="X39" i="4"/>
  <c r="AJ39" i="4" s="1"/>
  <c r="X44" i="4"/>
  <c r="AJ44" i="4" s="1"/>
  <c r="AP10" i="5"/>
  <c r="BI10" i="5" s="1"/>
  <c r="X99" i="4"/>
  <c r="AJ99" i="4" s="1"/>
  <c r="X37" i="4"/>
  <c r="AJ37" i="4" s="1"/>
  <c r="X71" i="4"/>
  <c r="AJ71" i="4" s="1"/>
  <c r="X40" i="4"/>
  <c r="AJ40" i="4" s="1"/>
  <c r="X138" i="4"/>
  <c r="AJ138" i="4" s="1"/>
  <c r="X68" i="4"/>
  <c r="AJ68" i="4" s="1"/>
  <c r="X115" i="4"/>
  <c r="AJ115" i="4" s="1"/>
  <c r="X70" i="4"/>
  <c r="X52" i="4"/>
  <c r="X42" i="4"/>
  <c r="AJ42" i="4" s="1"/>
  <c r="X72" i="4"/>
  <c r="AJ72" i="4" s="1"/>
  <c r="X132" i="4"/>
  <c r="AJ132" i="4" s="1"/>
  <c r="X64" i="4"/>
  <c r="AJ64" i="4" s="1"/>
  <c r="X41" i="4"/>
  <c r="AJ41" i="4" s="1"/>
  <c r="X36" i="4"/>
  <c r="AJ36" i="4" s="1"/>
  <c r="X120" i="4"/>
  <c r="AJ120" i="4" s="1"/>
  <c r="X107" i="4"/>
  <c r="AJ107" i="4" s="1"/>
  <c r="X150" i="4"/>
  <c r="AJ150" i="4" s="1"/>
  <c r="X83" i="4"/>
  <c r="AJ83" i="4" s="1"/>
  <c r="X48" i="4"/>
  <c r="AJ48" i="4" s="1"/>
  <c r="X84" i="4"/>
  <c r="AJ84" i="4" s="1"/>
  <c r="X50" i="4"/>
  <c r="AJ50" i="4" s="1"/>
  <c r="X100" i="4"/>
  <c r="AJ100" i="4" s="1"/>
  <c r="X119" i="4"/>
  <c r="AJ119" i="4" s="1"/>
  <c r="BE10" i="5"/>
  <c r="BD10" i="5"/>
  <c r="X106" i="4"/>
  <c r="AJ106" i="4" s="1"/>
  <c r="Y106" i="4"/>
  <c r="AR106" i="4" s="1"/>
  <c r="X78" i="4"/>
  <c r="AJ78" i="4" s="1"/>
  <c r="Y78" i="4"/>
  <c r="AR78" i="4" s="1"/>
  <c r="X62" i="4"/>
  <c r="Y62" i="4"/>
  <c r="AR62" i="4" s="1"/>
  <c r="X155" i="4"/>
  <c r="AJ155" i="4" s="1"/>
  <c r="Y155" i="4"/>
  <c r="AR155" i="4" s="1"/>
  <c r="X152" i="4"/>
  <c r="AJ152" i="4" s="1"/>
  <c r="Y152" i="4"/>
  <c r="AR152" i="4" s="1"/>
  <c r="X127" i="4"/>
  <c r="AJ127" i="4" s="1"/>
  <c r="Y127" i="4"/>
  <c r="AR127" i="4" s="1"/>
  <c r="X77" i="4"/>
  <c r="AJ77" i="4" s="1"/>
  <c r="Y77" i="4"/>
  <c r="AR77" i="4" s="1"/>
  <c r="X149" i="4"/>
  <c r="AJ149" i="4" s="1"/>
  <c r="Y149" i="4"/>
  <c r="AR149" i="4" s="1"/>
  <c r="X134" i="4"/>
  <c r="Y134" i="4"/>
  <c r="AR134" i="4" s="1"/>
  <c r="X114" i="4"/>
  <c r="AJ114" i="4" s="1"/>
  <c r="Y114" i="4"/>
  <c r="AR114" i="4" s="1"/>
  <c r="X76" i="4"/>
  <c r="AJ76" i="4" s="1"/>
  <c r="Y76" i="4"/>
  <c r="AR76" i="4" s="1"/>
  <c r="X89" i="4"/>
  <c r="AJ89" i="4" s="1"/>
  <c r="Y89" i="4"/>
  <c r="AR89" i="4" s="1"/>
  <c r="X61" i="4"/>
  <c r="Y61" i="4"/>
  <c r="AR61" i="4" s="1"/>
  <c r="X145" i="4"/>
  <c r="AJ145" i="4" s="1"/>
  <c r="Y145" i="4"/>
  <c r="AR145" i="4" s="1"/>
  <c r="X94" i="4"/>
  <c r="Y94" i="4"/>
  <c r="AR94" i="4" s="1"/>
  <c r="X121" i="4"/>
  <c r="AJ121" i="4" s="1"/>
  <c r="Y121" i="4"/>
  <c r="AR121" i="4" s="1"/>
  <c r="X97" i="4"/>
  <c r="AJ97" i="4" s="1"/>
  <c r="Y97" i="4"/>
  <c r="AR97" i="4" s="1"/>
  <c r="AP69" i="5"/>
  <c r="AR69" i="5" s="1"/>
  <c r="AP297" i="5"/>
  <c r="AR297" i="5" s="1"/>
  <c r="AP152" i="5"/>
  <c r="AR152" i="5" s="1"/>
  <c r="AP180" i="5"/>
  <c r="AQ180" i="5" s="1"/>
  <c r="AP51" i="5"/>
  <c r="BI51" i="5" s="1"/>
  <c r="AP520" i="5"/>
  <c r="AP388" i="5"/>
  <c r="AP479" i="5"/>
  <c r="BI479" i="5" s="1"/>
  <c r="AP549" i="5"/>
  <c r="AP434" i="5"/>
  <c r="AP323" i="5"/>
  <c r="BI323" i="5" s="1"/>
  <c r="AP110" i="5"/>
  <c r="BI110" i="5" s="1"/>
  <c r="AP435" i="5"/>
  <c r="BI435" i="5" s="1"/>
  <c r="AP510" i="5"/>
  <c r="AQ510" i="5" s="1"/>
  <c r="AP443" i="5"/>
  <c r="BI443" i="5" s="1"/>
  <c r="AP104" i="5"/>
  <c r="AQ104" i="5" s="1"/>
  <c r="AP364" i="5"/>
  <c r="AQ364" i="5" s="1"/>
  <c r="AP281" i="5"/>
  <c r="X140" i="4"/>
  <c r="Y140" i="4"/>
  <c r="AR140" i="4" s="1"/>
  <c r="X136" i="4"/>
  <c r="AJ136" i="4" s="1"/>
  <c r="Y136" i="4"/>
  <c r="AR136" i="4" s="1"/>
  <c r="X111" i="4"/>
  <c r="AJ111" i="4" s="1"/>
  <c r="Y111" i="4"/>
  <c r="AR111" i="4" s="1"/>
  <c r="X73" i="4"/>
  <c r="AJ73" i="4" s="1"/>
  <c r="Y73" i="4"/>
  <c r="AR73" i="4" s="1"/>
  <c r="X156" i="4"/>
  <c r="Y156" i="4"/>
  <c r="AR156" i="4" s="1"/>
  <c r="X66" i="4"/>
  <c r="AJ66" i="4" s="1"/>
  <c r="Y66" i="4"/>
  <c r="AR66" i="4" s="1"/>
  <c r="X112" i="4"/>
  <c r="Y112" i="4"/>
  <c r="AR112" i="4" s="1"/>
  <c r="X131" i="4"/>
  <c r="AJ131" i="4" s="1"/>
  <c r="Y131" i="4"/>
  <c r="AR131" i="4" s="1"/>
  <c r="X118" i="4"/>
  <c r="AJ118" i="4" s="1"/>
  <c r="Y118" i="4"/>
  <c r="AR118" i="4" s="1"/>
  <c r="X82" i="4"/>
  <c r="AJ82" i="4" s="1"/>
  <c r="Y82" i="4"/>
  <c r="AR82" i="4" s="1"/>
  <c r="X95" i="4"/>
  <c r="AJ95" i="4" s="1"/>
  <c r="Y95" i="4"/>
  <c r="AR95" i="4" s="1"/>
  <c r="X56" i="4"/>
  <c r="AJ56" i="4" s="1"/>
  <c r="Y56" i="4"/>
  <c r="AR56" i="4" s="1"/>
  <c r="X141" i="4"/>
  <c r="Y141" i="4"/>
  <c r="AR141" i="4" s="1"/>
  <c r="X101" i="4"/>
  <c r="AJ101" i="4" s="1"/>
  <c r="Y101" i="4"/>
  <c r="AR101" i="4" s="1"/>
  <c r="X59" i="4"/>
  <c r="AJ59" i="4" s="1"/>
  <c r="Y59" i="4"/>
  <c r="AR59" i="4" s="1"/>
  <c r="X86" i="4"/>
  <c r="AJ86" i="4" s="1"/>
  <c r="Y86" i="4"/>
  <c r="AR86" i="4" s="1"/>
  <c r="X90" i="4"/>
  <c r="AJ90" i="4" s="1"/>
  <c r="Y90" i="4"/>
  <c r="AR90" i="4" s="1"/>
  <c r="X81" i="4"/>
  <c r="AJ81" i="4" s="1"/>
  <c r="Y81" i="4"/>
  <c r="AR81" i="4" s="1"/>
  <c r="X69" i="4"/>
  <c r="AJ69" i="4" s="1"/>
  <c r="Y69" i="4"/>
  <c r="AR69" i="4" s="1"/>
  <c r="X63" i="4"/>
  <c r="AJ63" i="4" s="1"/>
  <c r="Y63" i="4"/>
  <c r="AR63" i="4" s="1"/>
  <c r="X108" i="4"/>
  <c r="AJ108" i="4" s="1"/>
  <c r="Y108" i="4"/>
  <c r="AR108" i="4" s="1"/>
  <c r="X122" i="4"/>
  <c r="AJ122" i="4" s="1"/>
  <c r="Y122" i="4"/>
  <c r="AR122" i="4" s="1"/>
  <c r="AP355" i="5"/>
  <c r="AQ355" i="5" s="1"/>
  <c r="AP475" i="5"/>
  <c r="AR475" i="5" s="1"/>
  <c r="AP155" i="5"/>
  <c r="AR155" i="5" s="1"/>
  <c r="AP492" i="5"/>
  <c r="AP498" i="5"/>
  <c r="AP311" i="5"/>
  <c r="AQ311" i="5" s="1"/>
  <c r="AP38" i="5"/>
  <c r="AP162" i="5"/>
  <c r="AP405" i="5"/>
  <c r="AQ405" i="5" s="1"/>
  <c r="AP24" i="5"/>
  <c r="AR24" i="5" s="1"/>
  <c r="AP78" i="5"/>
  <c r="AR78" i="5" s="1"/>
  <c r="AP362" i="5"/>
  <c r="AQ362" i="5" s="1"/>
  <c r="AP169" i="5"/>
  <c r="BI169" i="5" s="1"/>
  <c r="AP381" i="5"/>
  <c r="BI381" i="5" s="1"/>
  <c r="AP296" i="5"/>
  <c r="AQ296" i="5" s="1"/>
  <c r="AP168" i="5"/>
  <c r="AP145" i="5"/>
  <c r="AP196" i="5"/>
  <c r="BI196" i="5" s="1"/>
  <c r="AP402" i="5"/>
  <c r="AP39" i="5"/>
  <c r="AP218" i="5"/>
  <c r="AR218" i="5" s="1"/>
  <c r="AP335" i="5"/>
  <c r="BI335" i="5" s="1"/>
  <c r="AP206" i="5"/>
  <c r="BI206" i="5" s="1"/>
  <c r="AP299" i="5"/>
  <c r="AR299" i="5" s="1"/>
  <c r="AP200" i="5"/>
  <c r="BI200" i="5" s="1"/>
  <c r="AP315" i="5"/>
  <c r="AR315" i="5" s="1"/>
  <c r="AP359" i="5"/>
  <c r="AR359" i="5" s="1"/>
  <c r="AP437" i="5"/>
  <c r="AP179" i="5"/>
  <c r="AP448" i="5"/>
  <c r="BI448" i="5" s="1"/>
  <c r="AP185" i="5"/>
  <c r="AP333" i="5"/>
  <c r="AP240" i="5"/>
  <c r="BI240" i="5" s="1"/>
  <c r="AP554" i="5"/>
  <c r="AR554" i="5" s="1"/>
  <c r="AP313" i="5"/>
  <c r="BI313" i="5" s="1"/>
  <c r="AP58" i="5"/>
  <c r="BI58" i="5" s="1"/>
  <c r="AP247" i="5"/>
  <c r="AQ247" i="5" s="1"/>
  <c r="AP459" i="5"/>
  <c r="BI459" i="5" s="1"/>
  <c r="AP458" i="5"/>
  <c r="AR458" i="5" s="1"/>
  <c r="AP527" i="5"/>
  <c r="AP32" i="5"/>
  <c r="AP62" i="5"/>
  <c r="AQ62" i="5" s="1"/>
  <c r="AP265" i="5"/>
  <c r="AP93" i="5"/>
  <c r="AP488" i="5"/>
  <c r="AR488" i="5" s="1"/>
  <c r="AP425" i="5"/>
  <c r="AQ425" i="5" s="1"/>
  <c r="AP30" i="5"/>
  <c r="AQ30" i="5" s="1"/>
  <c r="AP118" i="5"/>
  <c r="AQ118" i="5" s="1"/>
  <c r="AP163" i="5"/>
  <c r="AQ163" i="5" s="1"/>
  <c r="AP85" i="5"/>
  <c r="BI85" i="5" s="1"/>
  <c r="AP544" i="5"/>
  <c r="BI544" i="5" s="1"/>
  <c r="AP532" i="5"/>
  <c r="AP460" i="5"/>
  <c r="AP371" i="5"/>
  <c r="AQ371" i="5" s="1"/>
  <c r="AP136" i="5"/>
  <c r="AP342" i="5"/>
  <c r="X57" i="4"/>
  <c r="AJ57" i="4" s="1"/>
  <c r="Y57" i="4"/>
  <c r="AR57" i="4" s="1"/>
  <c r="X130" i="4"/>
  <c r="AJ130" i="4" s="1"/>
  <c r="Y130" i="4"/>
  <c r="AR130" i="4" s="1"/>
  <c r="X46" i="4"/>
  <c r="AJ46" i="4" s="1"/>
  <c r="X87" i="4"/>
  <c r="AJ87" i="4" s="1"/>
  <c r="X98" i="4"/>
  <c r="AJ98" i="4" s="1"/>
  <c r="Y98" i="4"/>
  <c r="AR98" i="4" s="1"/>
  <c r="X65" i="4"/>
  <c r="AJ65" i="4" s="1"/>
  <c r="Y65" i="4"/>
  <c r="AR65" i="4" s="1"/>
  <c r="X103" i="4"/>
  <c r="AJ103" i="4" s="1"/>
  <c r="X49" i="4"/>
  <c r="X92" i="4"/>
  <c r="AJ92" i="4" s="1"/>
  <c r="Y92" i="4"/>
  <c r="AR92" i="4" s="1"/>
  <c r="X133" i="4"/>
  <c r="AJ133" i="4" s="1"/>
  <c r="Y133" i="4"/>
  <c r="AR133" i="4" s="1"/>
  <c r="X38" i="4"/>
  <c r="AJ38" i="4" s="1"/>
  <c r="X124" i="4"/>
  <c r="AJ124" i="4" s="1"/>
  <c r="Y124" i="4"/>
  <c r="AR124" i="4" s="1"/>
  <c r="X58" i="4"/>
  <c r="AJ58" i="4" s="1"/>
  <c r="Y58" i="4"/>
  <c r="AR58" i="4" s="1"/>
  <c r="X125" i="4"/>
  <c r="AJ125" i="4" s="1"/>
  <c r="Y125" i="4"/>
  <c r="AR125" i="4" s="1"/>
  <c r="X105" i="4"/>
  <c r="AJ105" i="4" s="1"/>
  <c r="Y105" i="4"/>
  <c r="AR105" i="4" s="1"/>
  <c r="X43" i="4"/>
  <c r="AJ43" i="4" s="1"/>
  <c r="X154" i="4"/>
  <c r="AJ154" i="4" s="1"/>
  <c r="Y154" i="4"/>
  <c r="AR154" i="4" s="1"/>
  <c r="X93" i="4"/>
  <c r="AJ93" i="4" s="1"/>
  <c r="Y93" i="4"/>
  <c r="AR93" i="4" s="1"/>
  <c r="X126" i="4"/>
  <c r="AJ126" i="4" s="1"/>
  <c r="Y126" i="4"/>
  <c r="AR126" i="4" s="1"/>
  <c r="X116" i="4"/>
  <c r="AJ116" i="4" s="1"/>
  <c r="Y116" i="4"/>
  <c r="AR116" i="4" s="1"/>
  <c r="X148" i="4"/>
  <c r="AJ148" i="4" s="1"/>
  <c r="Y148" i="4"/>
  <c r="AR148" i="4" s="1"/>
  <c r="X128" i="4"/>
  <c r="AJ128" i="4" s="1"/>
  <c r="Y128" i="4"/>
  <c r="AR128" i="4" s="1"/>
  <c r="X88" i="4"/>
  <c r="AJ88" i="4" s="1"/>
  <c r="X104" i="4"/>
  <c r="AJ104" i="4" s="1"/>
  <c r="X139" i="4"/>
  <c r="AJ139" i="4" s="1"/>
  <c r="X53" i="4"/>
  <c r="AJ53" i="4" s="1"/>
  <c r="X109" i="4"/>
  <c r="AJ109" i="4" s="1"/>
  <c r="Y109" i="4"/>
  <c r="AR109" i="4" s="1"/>
  <c r="AP301" i="5"/>
  <c r="AP556" i="5"/>
  <c r="AP90" i="5"/>
  <c r="AP195" i="5"/>
  <c r="AQ195" i="5" s="1"/>
  <c r="AP72" i="5"/>
  <c r="AQ72" i="5" s="1"/>
  <c r="AP501" i="5"/>
  <c r="BI501" i="5" s="1"/>
  <c r="AP199" i="5"/>
  <c r="BI199" i="5" s="1"/>
  <c r="AP251" i="5"/>
  <c r="BI251" i="5" s="1"/>
  <c r="AP455" i="5"/>
  <c r="AR455" i="5" s="1"/>
  <c r="AP249" i="5"/>
  <c r="AQ249" i="5" s="1"/>
  <c r="AP41" i="5"/>
  <c r="AQ41" i="5" s="1"/>
  <c r="AP307" i="5"/>
  <c r="BI307" i="5" s="1"/>
  <c r="AP350" i="5"/>
  <c r="AP66" i="5"/>
  <c r="AP312" i="5"/>
  <c r="AP290" i="5"/>
  <c r="AR290" i="5" s="1"/>
  <c r="AP326" i="5"/>
  <c r="AR326" i="5" s="1"/>
  <c r="AP156" i="5"/>
  <c r="BI156" i="5" s="1"/>
  <c r="AP318" i="5"/>
  <c r="AQ318" i="5" s="1"/>
  <c r="AP116" i="5"/>
  <c r="BI116" i="5" s="1"/>
  <c r="AP278" i="5"/>
  <c r="BI278" i="5" s="1"/>
  <c r="AP210" i="5"/>
  <c r="AR210" i="5" s="1"/>
  <c r="AP551" i="5"/>
  <c r="AR551" i="5" s="1"/>
  <c r="AP288" i="5"/>
  <c r="AQ288" i="5" s="1"/>
  <c r="AP539" i="5"/>
  <c r="AP454" i="5"/>
  <c r="AP164" i="5"/>
  <c r="AP167" i="5"/>
  <c r="BI167" i="5" s="1"/>
  <c r="AP232" i="5"/>
  <c r="AR232" i="5" s="1"/>
  <c r="X142" i="4"/>
  <c r="AJ142" i="4" s="1"/>
  <c r="Y142" i="4"/>
  <c r="AR142" i="4" s="1"/>
  <c r="X51" i="4"/>
  <c r="AJ51" i="4" s="1"/>
  <c r="X55" i="4"/>
  <c r="AJ55" i="4" s="1"/>
  <c r="Y55" i="4"/>
  <c r="AR55" i="4" s="1"/>
  <c r="X129" i="4"/>
  <c r="AJ129" i="4" s="1"/>
  <c r="Y129" i="4"/>
  <c r="AR129" i="4" s="1"/>
  <c r="X146" i="4"/>
  <c r="X157" i="4"/>
  <c r="AJ157" i="4" s="1"/>
  <c r="X75" i="4"/>
  <c r="AJ75" i="4" s="1"/>
  <c r="Y75" i="4"/>
  <c r="AR75" i="4" s="1"/>
  <c r="X110" i="4"/>
  <c r="Y110" i="4"/>
  <c r="AR110" i="4" s="1"/>
  <c r="X123" i="4"/>
  <c r="AJ123" i="4" s="1"/>
  <c r="Y123" i="4"/>
  <c r="AR123" i="4" s="1"/>
  <c r="X60" i="4"/>
  <c r="AJ60" i="4" s="1"/>
  <c r="Y60" i="4"/>
  <c r="AR60" i="4" s="1"/>
  <c r="X153" i="4"/>
  <c r="X54" i="4"/>
  <c r="AJ54" i="4" s="1"/>
  <c r="Y54" i="4"/>
  <c r="AR54" i="4" s="1"/>
  <c r="X144" i="4"/>
  <c r="AJ144" i="4" s="1"/>
  <c r="Y144" i="4"/>
  <c r="AR144" i="4" s="1"/>
  <c r="X47" i="4"/>
  <c r="AJ47" i="4" s="1"/>
  <c r="X102" i="4"/>
  <c r="Y102" i="4"/>
  <c r="AR102" i="4" s="1"/>
  <c r="X96" i="4"/>
  <c r="AJ96" i="4" s="1"/>
  <c r="Y96" i="4"/>
  <c r="AR96" i="4" s="1"/>
  <c r="X113" i="4"/>
  <c r="AJ113" i="4" s="1"/>
  <c r="Y113" i="4"/>
  <c r="AR113" i="4" s="1"/>
  <c r="X85" i="4"/>
  <c r="AJ85" i="4" s="1"/>
  <c r="Y85" i="4"/>
  <c r="AR85" i="4" s="1"/>
  <c r="X67" i="4"/>
  <c r="Y67" i="4"/>
  <c r="AR67" i="4" s="1"/>
  <c r="X143" i="4"/>
  <c r="AJ143" i="4" s="1"/>
  <c r="Y143" i="4"/>
  <c r="AR143" i="4" s="1"/>
  <c r="X117" i="4"/>
  <c r="Y117" i="4"/>
  <c r="AR117" i="4" s="1"/>
  <c r="X147" i="4"/>
  <c r="AJ147" i="4" s="1"/>
  <c r="X45" i="4"/>
  <c r="AJ45" i="4" s="1"/>
  <c r="X137" i="4"/>
  <c r="AJ137" i="4" s="1"/>
  <c r="Y137" i="4"/>
  <c r="AR137" i="4" s="1"/>
  <c r="X74" i="4"/>
  <c r="Y74" i="4"/>
  <c r="AR74" i="4" s="1"/>
  <c r="X135" i="4"/>
  <c r="AJ135" i="4" s="1"/>
  <c r="Y135" i="4"/>
  <c r="AR135" i="4" s="1"/>
  <c r="X151" i="4"/>
  <c r="AJ151" i="4" s="1"/>
  <c r="Y151" i="4"/>
  <c r="AR151" i="4" s="1"/>
  <c r="X79" i="4"/>
  <c r="Y79" i="4"/>
  <c r="AR79" i="4" s="1"/>
  <c r="AP427" i="5"/>
  <c r="AQ427" i="5" s="1"/>
  <c r="AP404" i="5"/>
  <c r="AQ404" i="5" s="1"/>
  <c r="AP447" i="5"/>
  <c r="AQ447" i="5" s="1"/>
  <c r="AP187" i="5"/>
  <c r="AQ187" i="5" s="1"/>
  <c r="AP166" i="5"/>
  <c r="AP177" i="5"/>
  <c r="AP12" i="5"/>
  <c r="AP97" i="5"/>
  <c r="AP37" i="5"/>
  <c r="AR37" i="5" s="1"/>
  <c r="AP327" i="5"/>
  <c r="AP276" i="5"/>
  <c r="AP422" i="5"/>
  <c r="AQ422" i="5" s="1"/>
  <c r="AP349" i="5"/>
  <c r="BI349" i="5" s="1"/>
  <c r="AP120" i="5"/>
  <c r="AR120" i="5" s="1"/>
  <c r="AP102" i="5"/>
  <c r="BI102" i="5" s="1"/>
  <c r="AP337" i="5"/>
  <c r="BI337" i="5" s="1"/>
  <c r="AP316" i="5"/>
  <c r="BI316" i="5" s="1"/>
  <c r="AP115" i="5"/>
  <c r="AP22" i="5"/>
  <c r="AP328" i="5"/>
  <c r="AP396" i="5"/>
  <c r="BI396" i="5" s="1"/>
  <c r="AP377" i="5"/>
  <c r="AP280" i="5"/>
  <c r="AR280" i="5" s="1"/>
  <c r="AP494" i="5"/>
  <c r="BI494" i="5" s="1"/>
  <c r="AP61" i="5"/>
  <c r="AQ61" i="5" s="1"/>
  <c r="AP79" i="5"/>
  <c r="AQ79" i="5" s="1"/>
  <c r="AP188" i="5"/>
  <c r="AR188" i="5" s="1"/>
  <c r="AP107" i="5"/>
  <c r="AR107" i="5" s="1"/>
  <c r="AP392" i="5"/>
  <c r="BI392" i="5" s="1"/>
  <c r="AP125" i="5"/>
  <c r="AP441" i="5"/>
  <c r="AP45" i="5"/>
  <c r="BI45" i="5" s="1"/>
  <c r="AP505" i="5"/>
  <c r="AR505" i="5" s="1"/>
  <c r="AP76" i="5"/>
  <c r="AP308" i="5"/>
  <c r="AR308" i="5" s="1"/>
  <c r="AP142" i="5"/>
  <c r="AR142" i="5" s="1"/>
  <c r="AP347" i="5"/>
  <c r="BI347" i="5" s="1"/>
  <c r="AP258" i="5"/>
  <c r="AR258" i="5" s="1"/>
  <c r="AP523" i="5"/>
  <c r="AQ523" i="5" s="1"/>
  <c r="AP94" i="5"/>
  <c r="AQ94" i="5" s="1"/>
  <c r="AP300" i="5"/>
  <c r="AP113" i="5"/>
  <c r="AP264" i="5"/>
  <c r="AP225" i="5"/>
  <c r="AP531" i="5"/>
  <c r="AQ531" i="5" s="1"/>
  <c r="AP514" i="5"/>
  <c r="AP25" i="5"/>
  <c r="AP530" i="5"/>
  <c r="AQ530" i="5" s="1"/>
  <c r="AP329" i="5"/>
  <c r="AR329" i="5" s="1"/>
  <c r="AP7" i="5"/>
  <c r="AR7" i="5" s="1"/>
  <c r="AP383" i="5"/>
  <c r="BI383" i="5" s="1"/>
  <c r="AP322" i="5"/>
  <c r="AQ322" i="5" s="1"/>
  <c r="AP410" i="5"/>
  <c r="AP47" i="5"/>
  <c r="AP409" i="5"/>
  <c r="AP457" i="5"/>
  <c r="AP204" i="5"/>
  <c r="AR204" i="5" s="1"/>
  <c r="AP369" i="5"/>
  <c r="AP294" i="5"/>
  <c r="AP91" i="5"/>
  <c r="AQ91" i="5" s="1"/>
  <c r="AP384" i="5"/>
  <c r="BI384" i="5" s="1"/>
  <c r="AP211" i="5"/>
  <c r="BI211" i="5" s="1"/>
  <c r="AP348" i="5"/>
  <c r="BI348" i="5" s="1"/>
  <c r="AP547" i="5"/>
  <c r="BI547" i="5" s="1"/>
  <c r="AP46" i="5"/>
  <c r="AP242" i="5"/>
  <c r="AP295" i="5"/>
  <c r="AP430" i="5"/>
  <c r="AP366" i="5"/>
  <c r="AQ366" i="5" s="1"/>
  <c r="AP205" i="5"/>
  <c r="AP360" i="5"/>
  <c r="AP56" i="5"/>
  <c r="BI56" i="5" s="1"/>
  <c r="AP71" i="5"/>
  <c r="AQ71" i="5" s="1"/>
  <c r="AP324" i="5"/>
  <c r="AQ324" i="5" s="1"/>
  <c r="AP340" i="5"/>
  <c r="AR340" i="5" s="1"/>
  <c r="AP248" i="5"/>
  <c r="AR248" i="5" s="1"/>
  <c r="AP144" i="5"/>
  <c r="AP552" i="5"/>
  <c r="AP413" i="5"/>
  <c r="AP165" i="5"/>
  <c r="AP484" i="5"/>
  <c r="BI484" i="5" s="1"/>
  <c r="AP75" i="5"/>
  <c r="AP271" i="5"/>
  <c r="AP353" i="5"/>
  <c r="AQ353" i="5" s="1"/>
  <c r="AP262" i="5"/>
  <c r="BI262" i="5" s="1"/>
  <c r="AP491" i="5"/>
  <c r="AQ491" i="5" s="1"/>
  <c r="AP60" i="5"/>
  <c r="AQ60" i="5" s="1"/>
  <c r="AP390" i="5"/>
  <c r="AQ390" i="5" s="1"/>
  <c r="AP553" i="5"/>
  <c r="AP28" i="5"/>
  <c r="AP320" i="5"/>
  <c r="AP503" i="5"/>
  <c r="AP161" i="5"/>
  <c r="BI161" i="5" s="1"/>
  <c r="AP429" i="5"/>
  <c r="AP558" i="5"/>
  <c r="AP314" i="5"/>
  <c r="AQ314" i="5" s="1"/>
  <c r="AP334" i="5"/>
  <c r="AQ334" i="5" s="1"/>
  <c r="AP540" i="5"/>
  <c r="BI540" i="5" s="1"/>
  <c r="AP123" i="5"/>
  <c r="AQ123" i="5" s="1"/>
  <c r="AP325" i="5"/>
  <c r="AR325" i="5" s="1"/>
  <c r="AP555" i="5"/>
  <c r="AP401" i="5"/>
  <c r="AP542" i="5"/>
  <c r="AP255" i="5"/>
  <c r="AP89" i="5"/>
  <c r="AR89" i="5" s="1"/>
  <c r="AP55" i="5"/>
  <c r="AP495" i="5"/>
  <c r="AP513" i="5"/>
  <c r="BI513" i="5" s="1"/>
  <c r="AQ535" i="5"/>
  <c r="BI535" i="5"/>
  <c r="AR535" i="5"/>
  <c r="BI356" i="5"/>
  <c r="AR356" i="5"/>
  <c r="AQ356" i="5"/>
  <c r="BI38" i="5"/>
  <c r="AQ38" i="5"/>
  <c r="AR38" i="5"/>
  <c r="AQ162" i="5"/>
  <c r="BI162" i="5"/>
  <c r="AR162" i="5"/>
  <c r="AQ106" i="5"/>
  <c r="AR106" i="5"/>
  <c r="BI106" i="5"/>
  <c r="AQ515" i="5"/>
  <c r="AR515" i="5"/>
  <c r="BI515" i="5"/>
  <c r="AR463" i="5"/>
  <c r="AQ463" i="5"/>
  <c r="BI463" i="5"/>
  <c r="AQ183" i="5"/>
  <c r="BI183" i="5"/>
  <c r="AR183" i="5"/>
  <c r="BI145" i="5"/>
  <c r="AR145" i="5"/>
  <c r="AQ145" i="5"/>
  <c r="BI274" i="5"/>
  <c r="AQ274" i="5"/>
  <c r="AR274" i="5"/>
  <c r="AQ299" i="5"/>
  <c r="AR489" i="5"/>
  <c r="BI489" i="5"/>
  <c r="AQ489" i="5"/>
  <c r="AR229" i="5"/>
  <c r="BI229" i="5"/>
  <c r="AQ229" i="5"/>
  <c r="AQ437" i="5"/>
  <c r="BI437" i="5"/>
  <c r="AR437" i="5"/>
  <c r="AR179" i="5"/>
  <c r="BI179" i="5"/>
  <c r="AQ179" i="5"/>
  <c r="AQ317" i="5"/>
  <c r="AR317" i="5"/>
  <c r="BI317" i="5"/>
  <c r="AQ185" i="5"/>
  <c r="AR185" i="5"/>
  <c r="BI185" i="5"/>
  <c r="AQ387" i="5"/>
  <c r="BI387" i="5"/>
  <c r="AR387" i="5"/>
  <c r="AQ525" i="5"/>
  <c r="AR525" i="5"/>
  <c r="BI525" i="5"/>
  <c r="AR282" i="5"/>
  <c r="BI282" i="5"/>
  <c r="AQ282" i="5"/>
  <c r="AQ333" i="5"/>
  <c r="BI333" i="5"/>
  <c r="AR333" i="5"/>
  <c r="AR178" i="5"/>
  <c r="BI178" i="5"/>
  <c r="AQ178" i="5"/>
  <c r="AQ546" i="5"/>
  <c r="BI546" i="5"/>
  <c r="AR546" i="5"/>
  <c r="AQ8" i="5"/>
  <c r="AR8" i="5"/>
  <c r="BI8" i="5"/>
  <c r="BI368" i="5"/>
  <c r="AQ368" i="5"/>
  <c r="AR368" i="5"/>
  <c r="AQ181" i="5"/>
  <c r="BI181" i="5"/>
  <c r="AR181" i="5"/>
  <c r="AR527" i="5"/>
  <c r="BI527" i="5"/>
  <c r="AQ527" i="5"/>
  <c r="AN411" i="5"/>
  <c r="AO411" i="5"/>
  <c r="AO151" i="5"/>
  <c r="AN151" i="5"/>
  <c r="AO68" i="5"/>
  <c r="AN68" i="5"/>
  <c r="AO252" i="5"/>
  <c r="AN252" i="5"/>
  <c r="AO77" i="5"/>
  <c r="AN77" i="5"/>
  <c r="AO266" i="5"/>
  <c r="AN266" i="5"/>
  <c r="AO33" i="5"/>
  <c r="AN33" i="5"/>
  <c r="AN148" i="5"/>
  <c r="AO148" i="5"/>
  <c r="AO84" i="5"/>
  <c r="AN84" i="5"/>
  <c r="AO106" i="5"/>
  <c r="AN106" i="5"/>
  <c r="AN557" i="5"/>
  <c r="AO557" i="5"/>
  <c r="AN240" i="5"/>
  <c r="AO240" i="5"/>
  <c r="AN446" i="5"/>
  <c r="AO446" i="5"/>
  <c r="AN183" i="5"/>
  <c r="AO183" i="5"/>
  <c r="AO192" i="5"/>
  <c r="AN192" i="5"/>
  <c r="AO209" i="5"/>
  <c r="AN209" i="5"/>
  <c r="AN394" i="5"/>
  <c r="AO394" i="5"/>
  <c r="AO541" i="5"/>
  <c r="AN541" i="5"/>
  <c r="AN504" i="5"/>
  <c r="AO504" i="5"/>
  <c r="AN13" i="5"/>
  <c r="AO13" i="5"/>
  <c r="AO416" i="5"/>
  <c r="AN416" i="5"/>
  <c r="AN54" i="5"/>
  <c r="AO54" i="5"/>
  <c r="AN159" i="5"/>
  <c r="AO159" i="5"/>
  <c r="AO154" i="5"/>
  <c r="AN154" i="5"/>
  <c r="AO524" i="5"/>
  <c r="AN524" i="5"/>
  <c r="AN260" i="5"/>
  <c r="AO260" i="5"/>
  <c r="AO444" i="5"/>
  <c r="AN444" i="5"/>
  <c r="AN372" i="5"/>
  <c r="AO372" i="5"/>
  <c r="AN529" i="5"/>
  <c r="AO529" i="5"/>
  <c r="AN284" i="5"/>
  <c r="AO284" i="5"/>
  <c r="AO533" i="5"/>
  <c r="AN533" i="5"/>
  <c r="AO219" i="5"/>
  <c r="AN219" i="5"/>
  <c r="AO462" i="5"/>
  <c r="AN462" i="5"/>
  <c r="AN176" i="5"/>
  <c r="AO176" i="5"/>
  <c r="AO267" i="5"/>
  <c r="AN267" i="5"/>
  <c r="AN419" i="5"/>
  <c r="AO419" i="5"/>
  <c r="AO12" i="5"/>
  <c r="AN12" i="5"/>
  <c r="AO101" i="5"/>
  <c r="AN101" i="5"/>
  <c r="AO386" i="5"/>
  <c r="AN386" i="5"/>
  <c r="AO368" i="5"/>
  <c r="AN368" i="5"/>
  <c r="AO186" i="5"/>
  <c r="AN186" i="5"/>
  <c r="AO363" i="5"/>
  <c r="AN363" i="5"/>
  <c r="AO65" i="5"/>
  <c r="AN65" i="5"/>
  <c r="AO316" i="5"/>
  <c r="AN316" i="5"/>
  <c r="AO302" i="5"/>
  <c r="AN302" i="5"/>
  <c r="AO336" i="5"/>
  <c r="AN336" i="5"/>
  <c r="AN184" i="5"/>
  <c r="AO184" i="5"/>
  <c r="AN485" i="5"/>
  <c r="AO485" i="5"/>
  <c r="AO73" i="5"/>
  <c r="AN73" i="5"/>
  <c r="AO248" i="5"/>
  <c r="AN248" i="5"/>
  <c r="AH16" i="4"/>
  <c r="AE16" i="4"/>
  <c r="Z16" i="4"/>
  <c r="X16" i="4" s="1"/>
  <c r="AJ16" i="4" s="1"/>
  <c r="AH9" i="4"/>
  <c r="Z9" i="4"/>
  <c r="X9" i="4" s="1"/>
  <c r="AJ9" i="4" s="1"/>
  <c r="AE9" i="4"/>
  <c r="AR95" i="5"/>
  <c r="AR492" i="5"/>
  <c r="BI492" i="5"/>
  <c r="AQ492" i="5"/>
  <c r="AR286" i="5"/>
  <c r="AQ286" i="5"/>
  <c r="BI286" i="5"/>
  <c r="AQ254" i="5"/>
  <c r="AR254" i="5"/>
  <c r="BI254" i="5"/>
  <c r="AQ213" i="5"/>
  <c r="BI213" i="5"/>
  <c r="AR213" i="5"/>
  <c r="AQ168" i="5"/>
  <c r="AR168" i="5"/>
  <c r="BI168" i="5"/>
  <c r="AR170" i="5"/>
  <c r="BI170" i="5"/>
  <c r="AQ170" i="5"/>
  <c r="BI402" i="5"/>
  <c r="AR402" i="5"/>
  <c r="AQ402" i="5"/>
  <c r="AH80" i="4"/>
  <c r="AE80" i="4"/>
  <c r="Z80" i="4"/>
  <c r="AA80" i="4"/>
  <c r="AH138" i="4"/>
  <c r="AE138" i="4"/>
  <c r="Z138" i="4"/>
  <c r="AA138" i="4"/>
  <c r="AH10" i="4"/>
  <c r="AE10" i="4"/>
  <c r="Z10" i="4"/>
  <c r="X10" i="4" s="1"/>
  <c r="AJ10" i="4" s="1"/>
  <c r="AH35" i="4"/>
  <c r="AE35" i="4"/>
  <c r="Z35" i="4"/>
  <c r="X35" i="4" s="1"/>
  <c r="AJ35" i="4" s="1"/>
  <c r="AH97" i="4"/>
  <c r="AE97" i="4"/>
  <c r="AE27" i="4"/>
  <c r="AH27" i="4"/>
  <c r="Z27" i="4"/>
  <c r="X27" i="4" s="1"/>
  <c r="AJ27" i="4" s="1"/>
  <c r="AH47" i="4"/>
  <c r="AA47" i="4"/>
  <c r="AE47" i="4"/>
  <c r="Z47" i="4"/>
  <c r="AE78" i="4"/>
  <c r="AH78" i="4"/>
  <c r="AH82" i="4"/>
  <c r="AE82" i="4"/>
  <c r="AE63" i="4"/>
  <c r="AH63" i="4"/>
  <c r="AH25" i="4"/>
  <c r="AE25" i="4"/>
  <c r="Z25" i="4"/>
  <c r="X25" i="4" s="1"/>
  <c r="AJ25" i="4" s="1"/>
  <c r="AJ62" i="4"/>
  <c r="AE62" i="4"/>
  <c r="AH62" i="4"/>
  <c r="AE96" i="4"/>
  <c r="AH96" i="4"/>
  <c r="AH76" i="4"/>
  <c r="AE76" i="4"/>
  <c r="AH87" i="4"/>
  <c r="AE87" i="4"/>
  <c r="AA87" i="4"/>
  <c r="Z87" i="4"/>
  <c r="AE89" i="4"/>
  <c r="AH89" i="4"/>
  <c r="AE29" i="4"/>
  <c r="AH29" i="4"/>
  <c r="Z29" i="4"/>
  <c r="X29" i="4" s="1"/>
  <c r="AH65" i="4"/>
  <c r="AE65" i="4"/>
  <c r="AR301" i="5"/>
  <c r="BI301" i="5"/>
  <c r="AQ301" i="5"/>
  <c r="BI343" i="5"/>
  <c r="AQ343" i="5"/>
  <c r="AR343" i="5"/>
  <c r="AR105" i="5"/>
  <c r="AQ105" i="5"/>
  <c r="BI105" i="5"/>
  <c r="AQ512" i="5"/>
  <c r="AR512" i="5"/>
  <c r="BI512" i="5"/>
  <c r="BI534" i="5"/>
  <c r="AR97" i="5"/>
  <c r="BI97" i="5"/>
  <c r="AQ97" i="5"/>
  <c r="AQ327" i="5"/>
  <c r="AR327" i="5"/>
  <c r="BI327" i="5"/>
  <c r="AR332" i="5"/>
  <c r="BI471" i="5"/>
  <c r="AR471" i="5"/>
  <c r="AQ471" i="5"/>
  <c r="AR476" i="5"/>
  <c r="BI476" i="5"/>
  <c r="AQ476" i="5"/>
  <c r="AR83" i="5"/>
  <c r="AQ83" i="5"/>
  <c r="BI83" i="5"/>
  <c r="AQ275" i="5"/>
  <c r="BI275" i="5"/>
  <c r="AR275" i="5"/>
  <c r="AR115" i="5"/>
  <c r="AQ115" i="5"/>
  <c r="BI115" i="5"/>
  <c r="AR331" i="5"/>
  <c r="BI331" i="5"/>
  <c r="AQ331" i="5"/>
  <c r="BI22" i="5"/>
  <c r="AQ22" i="5"/>
  <c r="AR22" i="5"/>
  <c r="AR365" i="5"/>
  <c r="AQ365" i="5"/>
  <c r="BI365" i="5"/>
  <c r="AQ90" i="5"/>
  <c r="BI90" i="5"/>
  <c r="AR90" i="5"/>
  <c r="AQ519" i="5"/>
  <c r="AQ40" i="5"/>
  <c r="BI40" i="5"/>
  <c r="AR40" i="5"/>
  <c r="AQ328" i="5"/>
  <c r="BI328" i="5"/>
  <c r="AR328" i="5"/>
  <c r="AQ396" i="5"/>
  <c r="AQ377" i="5"/>
  <c r="BI377" i="5"/>
  <c r="AR377" i="5"/>
  <c r="AP68" i="5"/>
  <c r="BI65" i="5"/>
  <c r="AQ65" i="5"/>
  <c r="AR65" i="5"/>
  <c r="BI101" i="5"/>
  <c r="AR101" i="5"/>
  <c r="AQ101" i="5"/>
  <c r="BI481" i="5"/>
  <c r="AQ481" i="5"/>
  <c r="AR481" i="5"/>
  <c r="BI86" i="5"/>
  <c r="AR86" i="5"/>
  <c r="AQ86" i="5"/>
  <c r="BI195" i="5"/>
  <c r="BI119" i="5"/>
  <c r="AR119" i="5"/>
  <c r="AQ119" i="5"/>
  <c r="AQ400" i="5"/>
  <c r="BI400" i="5"/>
  <c r="AR400" i="5"/>
  <c r="AP159" i="5"/>
  <c r="AP446" i="5"/>
  <c r="AQ188" i="5"/>
  <c r="AP411" i="5"/>
  <c r="AQ261" i="5"/>
  <c r="BI261" i="5"/>
  <c r="AR261" i="5"/>
  <c r="AR483" i="5"/>
  <c r="BI483" i="5"/>
  <c r="AQ483" i="5"/>
  <c r="BI173" i="5"/>
  <c r="AR173" i="5"/>
  <c r="AQ173" i="5"/>
  <c r="AR141" i="5"/>
  <c r="AQ141" i="5"/>
  <c r="BI141" i="5"/>
  <c r="AP176" i="5"/>
  <c r="AQ235" i="5"/>
  <c r="BI235" i="5"/>
  <c r="AR235" i="5"/>
  <c r="AR109" i="5"/>
  <c r="AQ109" i="5"/>
  <c r="BI109" i="5"/>
  <c r="AP529" i="5"/>
  <c r="AR433" i="5"/>
  <c r="AR41" i="5"/>
  <c r="AP444" i="5"/>
  <c r="AR237" i="5"/>
  <c r="BI237" i="5"/>
  <c r="AQ237" i="5"/>
  <c r="AQ108" i="5"/>
  <c r="AR108" i="5"/>
  <c r="BI108" i="5"/>
  <c r="BI339" i="5"/>
  <c r="AQ339" i="5"/>
  <c r="AR339" i="5"/>
  <c r="BI469" i="5"/>
  <c r="AQ469" i="5"/>
  <c r="AR469" i="5"/>
  <c r="BI23" i="5"/>
  <c r="AQ23" i="5"/>
  <c r="AR23" i="5"/>
  <c r="AQ125" i="5"/>
  <c r="AR125" i="5"/>
  <c r="BI125" i="5"/>
  <c r="AP154" i="5"/>
  <c r="AQ350" i="5"/>
  <c r="BI350" i="5"/>
  <c r="AR350" i="5"/>
  <c r="BI31" i="5"/>
  <c r="AQ31" i="5"/>
  <c r="AR31" i="5"/>
  <c r="AR87" i="5"/>
  <c r="AQ516" i="5"/>
  <c r="BI516" i="5"/>
  <c r="AR516" i="5"/>
  <c r="AQ66" i="5"/>
  <c r="BI66" i="5"/>
  <c r="AR66" i="5"/>
  <c r="AQ312" i="5"/>
  <c r="BI312" i="5"/>
  <c r="AR312" i="5"/>
  <c r="AQ441" i="5"/>
  <c r="BI441" i="5"/>
  <c r="AR441" i="5"/>
  <c r="BI326" i="5"/>
  <c r="AR403" i="5"/>
  <c r="AQ134" i="5"/>
  <c r="BI134" i="5"/>
  <c r="AR134" i="5"/>
  <c r="AQ45" i="5"/>
  <c r="BI201" i="5"/>
  <c r="AQ201" i="5"/>
  <c r="AR201" i="5"/>
  <c r="AQ505" i="5"/>
  <c r="AR399" i="5"/>
  <c r="BI399" i="5"/>
  <c r="AQ399" i="5"/>
  <c r="AP260" i="5"/>
  <c r="AQ291" i="5"/>
  <c r="AR291" i="5"/>
  <c r="BI291" i="5"/>
  <c r="AR507" i="5"/>
  <c r="AQ507" i="5"/>
  <c r="BI507" i="5"/>
  <c r="BI346" i="5"/>
  <c r="AQ346" i="5"/>
  <c r="AR346" i="5"/>
  <c r="AR135" i="5"/>
  <c r="BI135" i="5"/>
  <c r="AQ135" i="5"/>
  <c r="AP394" i="5"/>
  <c r="AP252" i="5"/>
  <c r="AQ268" i="5"/>
  <c r="BI268" i="5"/>
  <c r="AR268" i="5"/>
  <c r="AR76" i="5"/>
  <c r="AQ76" i="5"/>
  <c r="BI76" i="5"/>
  <c r="BI408" i="5"/>
  <c r="AR408" i="5"/>
  <c r="AQ408" i="5"/>
  <c r="AQ537" i="5"/>
  <c r="AR537" i="5"/>
  <c r="BI537" i="5"/>
  <c r="AQ208" i="5"/>
  <c r="BI210" i="5"/>
  <c r="AQ551" i="5"/>
  <c r="BI551" i="5"/>
  <c r="AR539" i="5"/>
  <c r="AQ539" i="5"/>
  <c r="BI539" i="5"/>
  <c r="BI454" i="5"/>
  <c r="AQ454" i="5"/>
  <c r="AR454" i="5"/>
  <c r="AR164" i="5"/>
  <c r="AQ164" i="5"/>
  <c r="BI164" i="5"/>
  <c r="AQ496" i="5"/>
  <c r="BI496" i="5"/>
  <c r="AR496" i="5"/>
  <c r="BI245" i="5"/>
  <c r="AR523" i="5"/>
  <c r="AE120" i="4"/>
  <c r="AA120" i="4"/>
  <c r="Z120" i="4"/>
  <c r="AH120" i="4"/>
  <c r="AK9" i="5"/>
  <c r="AL9" i="5"/>
  <c r="AI9" i="5"/>
  <c r="AH9" i="5"/>
  <c r="AE142" i="4"/>
  <c r="AH142" i="4"/>
  <c r="AQ184" i="5"/>
  <c r="AR184" i="5"/>
  <c r="BI184" i="5"/>
  <c r="AQ227" i="5"/>
  <c r="BI227" i="5"/>
  <c r="AR227" i="5"/>
  <c r="AR27" i="5"/>
  <c r="AQ64" i="5"/>
  <c r="AR64" i="5"/>
  <c r="BI64" i="5"/>
  <c r="AQ266" i="5"/>
  <c r="BI266" i="5"/>
  <c r="AR266" i="5"/>
  <c r="BI182" i="5"/>
  <c r="AQ421" i="5"/>
  <c r="AR421" i="5"/>
  <c r="BI421" i="5"/>
  <c r="BI436" i="5"/>
  <c r="AQ436" i="5"/>
  <c r="AR436" i="5"/>
  <c r="AR536" i="5"/>
  <c r="BI536" i="5"/>
  <c r="AQ536" i="5"/>
  <c r="BI171" i="5"/>
  <c r="AQ171" i="5"/>
  <c r="AR171" i="5"/>
  <c r="AR244" i="5"/>
  <c r="BI244" i="5"/>
  <c r="AQ244" i="5"/>
  <c r="AR336" i="5"/>
  <c r="BI336" i="5"/>
  <c r="AQ336" i="5"/>
  <c r="AQ543" i="5"/>
  <c r="BI543" i="5"/>
  <c r="AR543" i="5"/>
  <c r="AE51" i="4"/>
  <c r="AH51" i="4"/>
  <c r="AA51" i="4"/>
  <c r="Z51" i="4"/>
  <c r="AE118" i="4"/>
  <c r="AH118" i="4"/>
  <c r="AE114" i="4"/>
  <c r="AH114" i="4"/>
  <c r="AE69" i="4"/>
  <c r="AH69" i="4"/>
  <c r="AH104" i="4"/>
  <c r="Z104" i="4"/>
  <c r="AA104" i="4"/>
  <c r="AE104" i="4"/>
  <c r="AH139" i="4"/>
  <c r="AA139" i="4"/>
  <c r="Z139" i="4"/>
  <c r="AE139" i="4"/>
  <c r="AH100" i="4"/>
  <c r="AE100" i="4"/>
  <c r="AA100" i="4"/>
  <c r="Z100" i="4"/>
  <c r="P44" i="5"/>
  <c r="P46" i="5"/>
  <c r="P297" i="5"/>
  <c r="P541" i="5"/>
  <c r="P28" i="5"/>
  <c r="P348" i="5"/>
  <c r="P524" i="5"/>
  <c r="P29" i="5"/>
  <c r="P19" i="5"/>
  <c r="P256" i="5"/>
  <c r="P85" i="5"/>
  <c r="P282" i="5"/>
  <c r="P137" i="5"/>
  <c r="P468" i="5"/>
  <c r="P281" i="5"/>
  <c r="P76" i="5"/>
  <c r="P431" i="5"/>
  <c r="P405" i="5"/>
  <c r="P97" i="5"/>
  <c r="P21" i="5"/>
  <c r="P542" i="5"/>
  <c r="P37" i="5"/>
  <c r="P410" i="5"/>
  <c r="P70" i="5"/>
  <c r="P341" i="5"/>
  <c r="P77" i="5"/>
  <c r="P326" i="5"/>
  <c r="P258" i="5"/>
  <c r="P328" i="5"/>
  <c r="P560" i="5"/>
  <c r="P49" i="5"/>
  <c r="P166" i="5"/>
  <c r="P144" i="5"/>
  <c r="P62" i="5"/>
  <c r="P358" i="5"/>
  <c r="P210" i="5"/>
  <c r="P415" i="5"/>
  <c r="P559" i="5"/>
  <c r="P81" i="5"/>
  <c r="P522" i="5"/>
  <c r="P181" i="5"/>
  <c r="P514" i="5"/>
  <c r="P419" i="5"/>
  <c r="P558" i="5"/>
  <c r="P110" i="5"/>
  <c r="P272" i="5"/>
  <c r="P225" i="5"/>
  <c r="P507" i="5"/>
  <c r="P88" i="5"/>
  <c r="P466" i="5"/>
  <c r="P260" i="5"/>
  <c r="P437" i="5"/>
  <c r="P421" i="5"/>
  <c r="P299" i="5"/>
  <c r="P430" i="5"/>
  <c r="P309" i="5"/>
  <c r="P209" i="5"/>
  <c r="P242" i="5"/>
  <c r="P377" i="5"/>
  <c r="P187" i="5"/>
  <c r="P500" i="5"/>
  <c r="P119" i="5"/>
  <c r="P213" i="5"/>
  <c r="P51" i="5"/>
  <c r="P8" i="5"/>
  <c r="P34" i="5"/>
  <c r="P38" i="5"/>
  <c r="P372" i="5"/>
  <c r="P473" i="5"/>
  <c r="P180" i="5"/>
  <c r="P448" i="5"/>
  <c r="P316" i="5"/>
  <c r="P353" i="5"/>
  <c r="P504" i="5"/>
  <c r="P445" i="5"/>
  <c r="P234" i="5"/>
  <c r="P164" i="5"/>
  <c r="P373" i="5"/>
  <c r="P90" i="5"/>
  <c r="P83" i="5"/>
  <c r="P254" i="5"/>
  <c r="P149" i="5"/>
  <c r="P141" i="5"/>
  <c r="P549" i="5"/>
  <c r="P277" i="5"/>
  <c r="P27" i="5"/>
  <c r="P286" i="5"/>
  <c r="P551" i="5"/>
  <c r="P87" i="5"/>
  <c r="P115" i="5"/>
  <c r="P362" i="5"/>
  <c r="P352" i="5"/>
  <c r="P554" i="5"/>
  <c r="P369" i="5"/>
  <c r="P475" i="5"/>
  <c r="P236" i="5"/>
  <c r="P370" i="5"/>
  <c r="P350" i="5"/>
  <c r="P45" i="5"/>
  <c r="P150" i="5"/>
  <c r="P324" i="5"/>
  <c r="P447" i="5"/>
  <c r="P485" i="5"/>
  <c r="P331" i="5"/>
  <c r="P458" i="5"/>
  <c r="P521" i="5"/>
  <c r="P125" i="5"/>
  <c r="P393" i="5"/>
  <c r="P329" i="5"/>
  <c r="P537" i="5"/>
  <c r="P443" i="5"/>
  <c r="P93" i="5"/>
  <c r="P245" i="5"/>
  <c r="P123" i="5"/>
  <c r="P265" i="5"/>
  <c r="P279" i="5"/>
  <c r="P402" i="5"/>
  <c r="P64" i="5"/>
  <c r="P160" i="5"/>
  <c r="P41" i="5"/>
  <c r="P301" i="5"/>
  <c r="P42" i="5"/>
  <c r="P292" i="5"/>
  <c r="P424" i="5"/>
  <c r="P195" i="5"/>
  <c r="P462" i="5"/>
  <c r="P98" i="5"/>
  <c r="P474" i="5"/>
  <c r="P243" i="5"/>
  <c r="P442" i="5"/>
  <c r="P531" i="5"/>
  <c r="P207" i="5"/>
  <c r="P162" i="5"/>
  <c r="P69" i="5"/>
  <c r="P406" i="5"/>
  <c r="P381" i="5"/>
  <c r="P153" i="5"/>
  <c r="P300" i="5"/>
  <c r="P36" i="5"/>
  <c r="P322" i="5"/>
  <c r="P349" i="5"/>
  <c r="P319" i="5"/>
  <c r="P31" i="5"/>
  <c r="P191" i="5"/>
  <c r="P429" i="5"/>
  <c r="P13" i="5"/>
  <c r="P513" i="5"/>
  <c r="P11" i="5"/>
  <c r="P124" i="5"/>
  <c r="P364" i="5"/>
  <c r="P332" i="5"/>
  <c r="P220" i="5"/>
  <c r="P74" i="5"/>
  <c r="P109" i="5"/>
  <c r="P214" i="5"/>
  <c r="P453" i="5"/>
  <c r="P339" i="5"/>
  <c r="P416" i="5"/>
  <c r="P440" i="5"/>
  <c r="P203" i="5"/>
  <c r="P482" i="5"/>
  <c r="P438" i="5"/>
  <c r="P134" i="5"/>
  <c r="P128" i="5"/>
  <c r="P171" i="5"/>
  <c r="P91" i="5"/>
  <c r="P515" i="5"/>
  <c r="P487" i="5"/>
  <c r="P399" i="5"/>
  <c r="P56" i="5"/>
  <c r="P132" i="5"/>
  <c r="P488" i="5"/>
  <c r="P417" i="5"/>
  <c r="P441" i="5"/>
  <c r="P401" i="5"/>
  <c r="P486" i="5"/>
  <c r="P185" i="5"/>
  <c r="P451" i="5"/>
  <c r="P104" i="5"/>
  <c r="P544" i="5"/>
  <c r="P457" i="5"/>
  <c r="P384" i="5"/>
  <c r="P217" i="5"/>
  <c r="P289" i="5"/>
  <c r="P346" i="5"/>
  <c r="P528" i="5"/>
  <c r="P320" i="5"/>
  <c r="P120" i="5"/>
  <c r="P262" i="5"/>
  <c r="P175" i="5"/>
  <c r="P403" i="5"/>
  <c r="P95" i="5"/>
  <c r="P112" i="5"/>
  <c r="P276" i="5"/>
  <c r="P479" i="5"/>
  <c r="P287" i="5"/>
  <c r="P435" i="5"/>
  <c r="P518" i="5"/>
  <c r="P72" i="5"/>
  <c r="P271" i="5"/>
  <c r="P82" i="5"/>
  <c r="P116" i="5"/>
  <c r="P509" i="5"/>
  <c r="P450" i="5"/>
  <c r="P412" i="5"/>
  <c r="P408" i="5"/>
  <c r="P465" i="5"/>
  <c r="P333" i="5"/>
  <c r="P538" i="5"/>
  <c r="P379" i="5"/>
  <c r="P122" i="5"/>
  <c r="P432" i="5"/>
  <c r="P535" i="5"/>
  <c r="P172" i="5"/>
  <c r="P543" i="5"/>
  <c r="P425" i="5"/>
  <c r="P33" i="5"/>
  <c r="P40" i="5"/>
  <c r="P79" i="5"/>
  <c r="P47" i="5"/>
  <c r="P495" i="5"/>
  <c r="P337" i="5"/>
  <c r="P492" i="5"/>
  <c r="P545" i="5"/>
  <c r="P231" i="5"/>
  <c r="P30" i="5"/>
  <c r="P383" i="5"/>
  <c r="P253" i="5"/>
  <c r="P449" i="5"/>
  <c r="P101" i="5"/>
  <c r="P194" i="5"/>
  <c r="P65" i="5"/>
  <c r="P323" i="5"/>
  <c r="P360" i="5"/>
  <c r="P269" i="5"/>
  <c r="P539" i="5"/>
  <c r="P394" i="5"/>
  <c r="P43" i="5"/>
  <c r="P61" i="5"/>
  <c r="P378" i="5"/>
  <c r="P477" i="5"/>
  <c r="P489" i="5"/>
  <c r="P519" i="5"/>
  <c r="P295" i="5"/>
  <c r="P121" i="5"/>
  <c r="P391" i="5"/>
  <c r="P268" i="5"/>
  <c r="P68" i="5"/>
  <c r="P155" i="5"/>
  <c r="P107" i="5"/>
  <c r="P22" i="5"/>
  <c r="P314" i="5"/>
  <c r="P229" i="5"/>
  <c r="P148" i="5"/>
  <c r="P411" i="5"/>
  <c r="P67" i="5"/>
  <c r="P526" i="5"/>
  <c r="P113" i="5"/>
  <c r="P470" i="5"/>
  <c r="P452" i="5"/>
  <c r="P307" i="5"/>
  <c r="P409" i="5"/>
  <c r="P55" i="5"/>
  <c r="P343" i="5"/>
  <c r="P223" i="5"/>
  <c r="P298" i="5"/>
  <c r="P230" i="5"/>
  <c r="P303" i="5"/>
  <c r="P99" i="5"/>
  <c r="P499" i="5"/>
  <c r="P555" i="5"/>
  <c r="P275" i="5"/>
  <c r="P290" i="5"/>
  <c r="P380" i="5"/>
  <c r="P139" i="5"/>
  <c r="P512" i="5"/>
  <c r="P266" i="5"/>
  <c r="P385" i="5"/>
  <c r="P325" i="5"/>
  <c r="P156" i="5"/>
  <c r="P335" i="5"/>
  <c r="P498" i="5"/>
  <c r="P178" i="5"/>
  <c r="P264" i="5"/>
  <c r="P159" i="5"/>
  <c r="P294" i="5"/>
  <c r="P240" i="5"/>
  <c r="P151" i="5"/>
  <c r="P168" i="5"/>
  <c r="P84" i="5"/>
  <c r="P208" i="5"/>
  <c r="P53" i="5"/>
  <c r="P476" i="5"/>
  <c r="P197" i="5"/>
  <c r="P327" i="5"/>
  <c r="P100" i="5"/>
  <c r="P389" i="5"/>
  <c r="P184" i="5"/>
  <c r="P414" i="5"/>
  <c r="P505" i="5"/>
  <c r="P523" i="5"/>
  <c r="P422" i="5"/>
  <c r="P204" i="5"/>
  <c r="P483" i="5"/>
  <c r="P252" i="5"/>
  <c r="P108" i="5"/>
  <c r="P308" i="5"/>
  <c r="P388" i="5"/>
  <c r="P267" i="5"/>
  <c r="P183" i="5"/>
  <c r="P73" i="5"/>
  <c r="P130" i="5"/>
  <c r="P530" i="5"/>
  <c r="P387" i="5"/>
  <c r="P397" i="5"/>
  <c r="P427" i="5"/>
  <c r="P532" i="5"/>
  <c r="P376" i="5"/>
  <c r="P222" i="5"/>
  <c r="P25" i="5"/>
  <c r="P426" i="5"/>
  <c r="P463" i="5"/>
  <c r="P510" i="5"/>
  <c r="P288" i="5"/>
  <c r="P285" i="5"/>
  <c r="P478" i="5"/>
  <c r="P296" i="5"/>
  <c r="P497" i="5"/>
  <c r="P154" i="5"/>
  <c r="P464" i="5"/>
  <c r="P201" i="5"/>
  <c r="P105" i="5"/>
  <c r="P237" i="5"/>
  <c r="P278" i="5"/>
  <c r="P506" i="5"/>
  <c r="P433" i="5"/>
  <c r="P491" i="5"/>
  <c r="P80" i="5"/>
  <c r="P552" i="5"/>
  <c r="P351" i="5"/>
  <c r="P263" i="5"/>
  <c r="P368" i="5"/>
  <c r="P66" i="5"/>
  <c r="P480" i="5"/>
  <c r="P347" i="5"/>
  <c r="P202" i="5"/>
  <c r="P118" i="5"/>
  <c r="P374" i="5"/>
  <c r="P274" i="5"/>
  <c r="P165" i="5"/>
  <c r="P434" i="5"/>
  <c r="P199" i="5"/>
  <c r="P342" i="5"/>
  <c r="P550" i="5"/>
  <c r="P182" i="5"/>
  <c r="P547" i="5"/>
  <c r="P255" i="5"/>
  <c r="P436" i="5"/>
  <c r="P366" i="5"/>
  <c r="P291" i="5"/>
  <c r="P306" i="5"/>
  <c r="P158" i="5"/>
  <c r="P190" i="5"/>
  <c r="P177" i="5"/>
  <c r="P359" i="5"/>
  <c r="P446" i="5"/>
  <c r="P246" i="5"/>
  <c r="P472" i="5"/>
  <c r="P321" i="5"/>
  <c r="P226" i="5"/>
  <c r="P20" i="5"/>
  <c r="P493" i="5"/>
  <c r="P23" i="5"/>
  <c r="P26" i="5"/>
  <c r="P186" i="5"/>
  <c r="P490" i="5"/>
  <c r="P305" i="5"/>
  <c r="P467" i="5"/>
  <c r="P508" i="5"/>
  <c r="P57" i="5"/>
  <c r="P136" i="5"/>
  <c r="P221" i="5"/>
  <c r="P533" i="5"/>
  <c r="P211" i="5"/>
  <c r="P481" i="5"/>
  <c r="P338" i="5"/>
  <c r="P516" i="5"/>
  <c r="P428" i="5"/>
  <c r="P138" i="5"/>
  <c r="P52" i="5"/>
  <c r="P63" i="5"/>
  <c r="P143" i="5"/>
  <c r="P536" i="5"/>
  <c r="P102" i="5"/>
  <c r="P247" i="5"/>
  <c r="P89" i="5"/>
  <c r="P548" i="5"/>
  <c r="P553" i="5"/>
  <c r="P511" i="5"/>
  <c r="P471" i="5"/>
  <c r="P54" i="5"/>
  <c r="P390" i="5"/>
  <c r="P205" i="5"/>
  <c r="P48" i="5"/>
  <c r="P365" i="5"/>
  <c r="P361" i="5"/>
  <c r="P396" i="5"/>
  <c r="P420" i="5"/>
  <c r="P196" i="5"/>
  <c r="P502" i="5"/>
  <c r="P501" i="5"/>
  <c r="P407" i="5"/>
  <c r="P189" i="5"/>
  <c r="P357" i="5"/>
  <c r="P86" i="5"/>
  <c r="P241" i="5"/>
  <c r="P219" i="5"/>
  <c r="P375" i="5"/>
  <c r="P106" i="5"/>
  <c r="P117" i="5"/>
  <c r="P340" i="5"/>
  <c r="P103" i="5"/>
  <c r="P284" i="5"/>
  <c r="P251" i="5"/>
  <c r="P215" i="5"/>
  <c r="P400" i="5"/>
  <c r="P176" i="5"/>
  <c r="P395" i="5"/>
  <c r="P146" i="5"/>
  <c r="P540" i="5"/>
  <c r="P114" i="5"/>
  <c r="P469" i="5"/>
  <c r="P317" i="5"/>
  <c r="P131" i="5"/>
  <c r="P318" i="5"/>
  <c r="P173" i="5"/>
  <c r="P216" i="5"/>
  <c r="P140" i="5"/>
  <c r="P293" i="5"/>
  <c r="P152" i="5"/>
  <c r="P78" i="5"/>
  <c r="P147" i="5"/>
  <c r="P461" i="5"/>
  <c r="P198" i="5"/>
  <c r="P169" i="5"/>
  <c r="P273" i="5"/>
  <c r="P161" i="5"/>
  <c r="P174" i="5"/>
  <c r="P163" i="5"/>
  <c r="P257" i="5"/>
  <c r="P334" i="5"/>
  <c r="P228" i="5"/>
  <c r="P179" i="5"/>
  <c r="P206" i="5"/>
  <c r="P12" i="5"/>
  <c r="P336" i="5"/>
  <c r="P192" i="5"/>
  <c r="P312" i="5"/>
  <c r="P126" i="5"/>
  <c r="P460" i="5"/>
  <c r="P520" i="5"/>
  <c r="P71" i="5"/>
  <c r="P227" i="5"/>
  <c r="P484" i="5"/>
  <c r="P200" i="5"/>
  <c r="P24" i="5"/>
  <c r="P157" i="5"/>
  <c r="P94" i="5"/>
  <c r="P398" i="5"/>
  <c r="P261" i="5"/>
  <c r="P259" i="5"/>
  <c r="P557" i="5"/>
  <c r="P404" i="5"/>
  <c r="P439" i="5"/>
  <c r="P145" i="5"/>
  <c r="P371" i="5"/>
  <c r="P310" i="5"/>
  <c r="P111" i="5"/>
  <c r="P212" i="5"/>
  <c r="P546" i="5"/>
  <c r="P250" i="5"/>
  <c r="P224" i="5"/>
  <c r="P503" i="5"/>
  <c r="P456" i="5"/>
  <c r="P354" i="5"/>
  <c r="P142" i="5"/>
  <c r="P10" i="5"/>
  <c r="P283" i="5"/>
  <c r="P355" i="5"/>
  <c r="P135" i="5"/>
  <c r="P270" i="5"/>
  <c r="P356" i="5"/>
  <c r="P59" i="5"/>
  <c r="P423" i="5"/>
  <c r="P127" i="5"/>
  <c r="P244" i="5"/>
  <c r="P392" i="5"/>
  <c r="P313" i="5"/>
  <c r="P232" i="5"/>
  <c r="P413" i="5"/>
  <c r="P529" i="5"/>
  <c r="P50" i="5"/>
  <c r="P32" i="5"/>
  <c r="P280" i="5"/>
  <c r="P386" i="5"/>
  <c r="P330" i="5"/>
  <c r="P238" i="5"/>
  <c r="P193" i="5"/>
  <c r="P39" i="5"/>
  <c r="P58" i="5"/>
  <c r="P233" i="5"/>
  <c r="P75" i="5"/>
  <c r="P188" i="5"/>
  <c r="P363" i="5"/>
  <c r="P345" i="5"/>
  <c r="P92" i="5"/>
  <c r="P239" i="5"/>
  <c r="P459" i="5"/>
  <c r="P556" i="5"/>
  <c r="P454" i="5"/>
  <c r="P302" i="5"/>
  <c r="P534" i="5"/>
  <c r="P494" i="5"/>
  <c r="P133" i="5"/>
  <c r="P496" i="5"/>
  <c r="P311" i="5"/>
  <c r="P304" i="5"/>
  <c r="P315" i="5"/>
  <c r="P60" i="5"/>
  <c r="P382" i="5"/>
  <c r="P525" i="5"/>
  <c r="P527" i="5"/>
  <c r="P367" i="5"/>
  <c r="P96" i="5"/>
  <c r="P218" i="5"/>
  <c r="P170" i="5"/>
  <c r="P444" i="5"/>
  <c r="P344" i="5"/>
  <c r="P418" i="5"/>
  <c r="P167" i="5"/>
  <c r="P517" i="5"/>
  <c r="P455" i="5"/>
  <c r="P235" i="5"/>
  <c r="P249" i="5"/>
  <c r="P35" i="5"/>
  <c r="P9" i="5"/>
  <c r="P248" i="5"/>
  <c r="P129" i="5"/>
  <c r="AE95" i="4"/>
  <c r="AH95" i="4"/>
  <c r="AE46" i="4"/>
  <c r="AH46" i="4"/>
  <c r="AA46" i="4"/>
  <c r="Z46" i="4"/>
  <c r="AA50" i="4"/>
  <c r="AE50" i="4"/>
  <c r="AH50" i="4"/>
  <c r="Z50" i="4"/>
  <c r="AA48" i="4"/>
  <c r="AH48" i="4"/>
  <c r="AE48" i="4"/>
  <c r="Z48" i="4"/>
  <c r="AH53" i="4"/>
  <c r="AE53" i="4"/>
  <c r="AA53" i="4"/>
  <c r="Z53" i="4"/>
  <c r="AJ91" i="4"/>
  <c r="AE91" i="4"/>
  <c r="AA91" i="4"/>
  <c r="AH91" i="4"/>
  <c r="Z91" i="4"/>
  <c r="AH122" i="4"/>
  <c r="AE122" i="4"/>
  <c r="AH99" i="4"/>
  <c r="AA99" i="4"/>
  <c r="AE99" i="4"/>
  <c r="Z99" i="4"/>
  <c r="B185" i="2"/>
  <c r="B219" i="2"/>
  <c r="H64" i="1" s="1"/>
  <c r="AQ217" i="5"/>
  <c r="AR217" i="5"/>
  <c r="BI217" i="5"/>
  <c r="BI273" i="5"/>
  <c r="AR273" i="5"/>
  <c r="AQ273" i="5"/>
  <c r="AQ12" i="5"/>
  <c r="BI12" i="5"/>
  <c r="AR12" i="5"/>
  <c r="AQ344" i="5"/>
  <c r="BI344" i="5"/>
  <c r="AR344" i="5"/>
  <c r="AR556" i="5"/>
  <c r="BI556" i="5"/>
  <c r="AQ556" i="5"/>
  <c r="BI37" i="5"/>
  <c r="AQ276" i="5"/>
  <c r="AR276" i="5"/>
  <c r="BI276" i="5"/>
  <c r="AE7" i="5"/>
  <c r="BF7" i="5"/>
  <c r="AD7" i="5"/>
  <c r="B184" i="2" s="1"/>
  <c r="AE54" i="4"/>
  <c r="AH54" i="4"/>
  <c r="AH24" i="4"/>
  <c r="AE24" i="4"/>
  <c r="Z24" i="4"/>
  <c r="X24" i="4" s="1"/>
  <c r="AJ24" i="4" s="1"/>
  <c r="O11" i="5"/>
  <c r="Q408" i="5"/>
  <c r="Q53" i="5"/>
  <c r="Q154" i="5"/>
  <c r="Q150" i="5"/>
  <c r="Q287" i="5"/>
  <c r="Q385" i="5"/>
  <c r="Q464" i="5"/>
  <c r="Q459" i="5"/>
  <c r="Q418" i="5"/>
  <c r="Q424" i="5"/>
  <c r="Q402" i="5"/>
  <c r="Q495" i="5"/>
  <c r="Q177" i="5"/>
  <c r="Q404" i="5"/>
  <c r="Q45" i="5"/>
  <c r="Q504" i="5"/>
  <c r="Q392" i="5"/>
  <c r="Q325" i="5"/>
  <c r="Q292" i="5"/>
  <c r="Q416" i="5"/>
  <c r="Q471" i="5"/>
  <c r="Q339" i="5"/>
  <c r="Q131" i="5"/>
  <c r="Q400" i="5"/>
  <c r="Q48" i="5"/>
  <c r="Q79" i="5"/>
  <c r="Q488" i="5"/>
  <c r="Q69" i="5"/>
  <c r="Q421" i="5"/>
  <c r="Q455" i="5"/>
  <c r="Q233" i="5"/>
  <c r="Q137" i="5"/>
  <c r="Q366" i="5"/>
  <c r="Q214" i="5"/>
  <c r="Q281" i="5"/>
  <c r="Q168" i="5"/>
  <c r="Q143" i="5"/>
  <c r="Q285" i="5"/>
  <c r="Q442" i="5"/>
  <c r="B40" i="5"/>
  <c r="Q133" i="5"/>
  <c r="Q194" i="5"/>
  <c r="Q386" i="5"/>
  <c r="Q123" i="5"/>
  <c r="Q158" i="5"/>
  <c r="Q534" i="5"/>
  <c r="Q134" i="5"/>
  <c r="Q460" i="5"/>
  <c r="Q103" i="5"/>
  <c r="Q33" i="5"/>
  <c r="Q244" i="5"/>
  <c r="Q269" i="5"/>
  <c r="Q531" i="5"/>
  <c r="Q117" i="5"/>
  <c r="Q451" i="5"/>
  <c r="Q542" i="5"/>
  <c r="Q362" i="5"/>
  <c r="Q517" i="5"/>
  <c r="Q452" i="5"/>
  <c r="Q111" i="5"/>
  <c r="Q540" i="5"/>
  <c r="Q173" i="5"/>
  <c r="Q363" i="5"/>
  <c r="Q350" i="5"/>
  <c r="Q55" i="5"/>
  <c r="Q286" i="5"/>
  <c r="Q81" i="5"/>
  <c r="Q529" i="5"/>
  <c r="Q119" i="5"/>
  <c r="Q317" i="5"/>
  <c r="Q156" i="5"/>
  <c r="Q389" i="5"/>
  <c r="Q274" i="5"/>
  <c r="Q458" i="5"/>
  <c r="Q466" i="5"/>
  <c r="Q72" i="5"/>
  <c r="Q465" i="5"/>
  <c r="Q89" i="5"/>
  <c r="Q12" i="5"/>
  <c r="Q461" i="5"/>
  <c r="Q144" i="5"/>
  <c r="Q70" i="5"/>
  <c r="Q113" i="5"/>
  <c r="Q434" i="5"/>
  <c r="Q503" i="5"/>
  <c r="Q322" i="5"/>
  <c r="Q390" i="5"/>
  <c r="Q66" i="5"/>
  <c r="Q124" i="5"/>
  <c r="Q547" i="5"/>
  <c r="Q24" i="5"/>
  <c r="Q412" i="5"/>
  <c r="Q361" i="5"/>
  <c r="Q161" i="5"/>
  <c r="Q283" i="5"/>
  <c r="Q506" i="5"/>
  <c r="Q146" i="5"/>
  <c r="Q217" i="5"/>
  <c r="Q246" i="5"/>
  <c r="Q187" i="5"/>
  <c r="Q108" i="5"/>
  <c r="Q513" i="5"/>
  <c r="Q238" i="5"/>
  <c r="Q204" i="5"/>
  <c r="Q97" i="5"/>
  <c r="Q96" i="5"/>
  <c r="Q273" i="5"/>
  <c r="Q149" i="5"/>
  <c r="Q104" i="5"/>
  <c r="Q272" i="5"/>
  <c r="Q212" i="5"/>
  <c r="Q393" i="5"/>
  <c r="Q52" i="5"/>
  <c r="Q215" i="5"/>
  <c r="Q301" i="5"/>
  <c r="Q346" i="5"/>
  <c r="Q224" i="5"/>
  <c r="Q327" i="5"/>
  <c r="Q99" i="5"/>
  <c r="Q296" i="5"/>
  <c r="Q388" i="5"/>
  <c r="Q321" i="5"/>
  <c r="Q356" i="5"/>
  <c r="Q535" i="5"/>
  <c r="Q23" i="5"/>
  <c r="Q62" i="5"/>
  <c r="Q110" i="5"/>
  <c r="Q315" i="5"/>
  <c r="Q448" i="5"/>
  <c r="Q132" i="5"/>
  <c r="Q39" i="5"/>
  <c r="Q82" i="5"/>
  <c r="Q328" i="5"/>
  <c r="Q336" i="5"/>
  <c r="Q359" i="5"/>
  <c r="Q19" i="5"/>
  <c r="Q348" i="5"/>
  <c r="Q207" i="5"/>
  <c r="Q538" i="5"/>
  <c r="Q197" i="5"/>
  <c r="Q184" i="5"/>
  <c r="Q463" i="5"/>
  <c r="Q333" i="5"/>
  <c r="Q349" i="5"/>
  <c r="Q58" i="5"/>
  <c r="Q326" i="5"/>
  <c r="Q530" i="5"/>
  <c r="Q172" i="5"/>
  <c r="Q26" i="5"/>
  <c r="Q293" i="5"/>
  <c r="Q266" i="5"/>
  <c r="Q320" i="5"/>
  <c r="Q304" i="5"/>
  <c r="Q518" i="5"/>
  <c r="Q29" i="5"/>
  <c r="Q163" i="5"/>
  <c r="Q211" i="5"/>
  <c r="Q438" i="5"/>
  <c r="Q515" i="5"/>
  <c r="Q261" i="5"/>
  <c r="Q27" i="5"/>
  <c r="Q382" i="5"/>
  <c r="Q505" i="5"/>
  <c r="Q248" i="5"/>
  <c r="Q409" i="5"/>
  <c r="Q114" i="5"/>
  <c r="Q64" i="5"/>
  <c r="Q74" i="5"/>
  <c r="Q484" i="5"/>
  <c r="Q543" i="5"/>
  <c r="Q351" i="5"/>
  <c r="Q473" i="5"/>
  <c r="Q199" i="5"/>
  <c r="Q428" i="5"/>
  <c r="Q279" i="5"/>
  <c r="Q427" i="5"/>
  <c r="Q73" i="5"/>
  <c r="Q387" i="5"/>
  <c r="Q480" i="5"/>
  <c r="Q414" i="5"/>
  <c r="Q501" i="5"/>
  <c r="Q541" i="5"/>
  <c r="Q157" i="5"/>
  <c r="Q467" i="5"/>
  <c r="Q213" i="5"/>
  <c r="Q8" i="5"/>
  <c r="Q396" i="5"/>
  <c r="Q140" i="5"/>
  <c r="Q411" i="5"/>
  <c r="Q78" i="5"/>
  <c r="Q46" i="5"/>
  <c r="Q552" i="5"/>
  <c r="Q477" i="5"/>
  <c r="Q344" i="5"/>
  <c r="Q61" i="5"/>
  <c r="Q370" i="5"/>
  <c r="Q528" i="5"/>
  <c r="Q288" i="5"/>
  <c r="Q202" i="5"/>
  <c r="Q164" i="5"/>
  <c r="Q250" i="5"/>
  <c r="Q300" i="5"/>
  <c r="Q334" i="5"/>
  <c r="Q228" i="5"/>
  <c r="Q364" i="5"/>
  <c r="Q219" i="5"/>
  <c r="Q309" i="5"/>
  <c r="Q200" i="5"/>
  <c r="Q38" i="5"/>
  <c r="Q28" i="5"/>
  <c r="Q44" i="5"/>
  <c r="Q379" i="5"/>
  <c r="Q377" i="5"/>
  <c r="Q499" i="5"/>
  <c r="Q453" i="5"/>
  <c r="Q446" i="5"/>
  <c r="Q329" i="5"/>
  <c r="Q88" i="5"/>
  <c r="Q40" i="5"/>
  <c r="Q553" i="5"/>
  <c r="Q399" i="5"/>
  <c r="Q263" i="5"/>
  <c r="Q368" i="5"/>
  <c r="Q429" i="5"/>
  <c r="Q456" i="5"/>
  <c r="Q185" i="5"/>
  <c r="Q278" i="5"/>
  <c r="Q431" i="5"/>
  <c r="Q130" i="5"/>
  <c r="Q159" i="5"/>
  <c r="Q496" i="5"/>
  <c r="Q494" i="5"/>
  <c r="Q338" i="5"/>
  <c r="Q291" i="5"/>
  <c r="Q155" i="5"/>
  <c r="Q106" i="5"/>
  <c r="Q492" i="5"/>
  <c r="Q176" i="5"/>
  <c r="Q384" i="5"/>
  <c r="Q433" i="5"/>
  <c r="Q472" i="5"/>
  <c r="Q347" i="5"/>
  <c r="Q255" i="5"/>
  <c r="Q230" i="5"/>
  <c r="Q243" i="5"/>
  <c r="Q332" i="5"/>
  <c r="Q95" i="5"/>
  <c r="Q31" i="5"/>
  <c r="Q251" i="5"/>
  <c r="Q167" i="5"/>
  <c r="Q372" i="5"/>
  <c r="Q171" i="5"/>
  <c r="Q175" i="5"/>
  <c r="Q277" i="5"/>
  <c r="Q479" i="5"/>
  <c r="Q239" i="5"/>
  <c r="Q440" i="5"/>
  <c r="Q397" i="5"/>
  <c r="Q549" i="5"/>
  <c r="Q258" i="5"/>
  <c r="Q422" i="5"/>
  <c r="Q236" i="5"/>
  <c r="Q229" i="5"/>
  <c r="Q189" i="5"/>
  <c r="Q548" i="5"/>
  <c r="Q136" i="5"/>
  <c r="Q474" i="5"/>
  <c r="Q312" i="5"/>
  <c r="Q10" i="5"/>
  <c r="Q554" i="5"/>
  <c r="Q523" i="5"/>
  <c r="Q525" i="5"/>
  <c r="Q51" i="5"/>
  <c r="Q470" i="5"/>
  <c r="Q483" i="5"/>
  <c r="Q437" i="5"/>
  <c r="Q352" i="5"/>
  <c r="Q245" i="5"/>
  <c r="Q75" i="5"/>
  <c r="Q100" i="5"/>
  <c r="Q498" i="5"/>
  <c r="Q275" i="5"/>
  <c r="Q371" i="5"/>
  <c r="Q307" i="5"/>
  <c r="Q305" i="5"/>
  <c r="Q524" i="5"/>
  <c r="Q330" i="5"/>
  <c r="Q160" i="5"/>
  <c r="Q545" i="5"/>
  <c r="Q139" i="5"/>
  <c r="Q345" i="5"/>
  <c r="Q262" i="5"/>
  <c r="Q101" i="5"/>
  <c r="Q43" i="5"/>
  <c r="Q558" i="5"/>
  <c r="Q198" i="5"/>
  <c r="Q166" i="5"/>
  <c r="Q208" i="5"/>
  <c r="Q247" i="5"/>
  <c r="Q358" i="5"/>
  <c r="Q254" i="5"/>
  <c r="Q365" i="5"/>
  <c r="Q487" i="5"/>
  <c r="Q77" i="5"/>
  <c r="Q314" i="5"/>
  <c r="Q92" i="5"/>
  <c r="Q290" i="5"/>
  <c r="Q403" i="5"/>
  <c r="Q308" i="5"/>
  <c r="Q54" i="5"/>
  <c r="Q374" i="5"/>
  <c r="Q511" i="5"/>
  <c r="Q417" i="5"/>
  <c r="Q485" i="5"/>
  <c r="Q341" i="5"/>
  <c r="Q84" i="5"/>
  <c r="Q32" i="5"/>
  <c r="Q449" i="5"/>
  <c r="Q115" i="5"/>
  <c r="Q216" i="5"/>
  <c r="Q220" i="5"/>
  <c r="Q551" i="5"/>
  <c r="Q445" i="5"/>
  <c r="Q153" i="5"/>
  <c r="Q192" i="5"/>
  <c r="Q30" i="5"/>
  <c r="Q76" i="5"/>
  <c r="Q297" i="5"/>
  <c r="Q122" i="5"/>
  <c r="Q284" i="5"/>
  <c r="Q482" i="5"/>
  <c r="Q469" i="5"/>
  <c r="Q354" i="5"/>
  <c r="Q170" i="5"/>
  <c r="Q174" i="5"/>
  <c r="Q380" i="5"/>
  <c r="Q430" i="5"/>
  <c r="Q294" i="5"/>
  <c r="Q475" i="5"/>
  <c r="Q340" i="5"/>
  <c r="Q410" i="5"/>
  <c r="Q165" i="5"/>
  <c r="Q426" i="5"/>
  <c r="Q491" i="5"/>
  <c r="Q241" i="5"/>
  <c r="Q186" i="5"/>
  <c r="Q468" i="5"/>
  <c r="Q205" i="5"/>
  <c r="Q502" i="5"/>
  <c r="Q436" i="5"/>
  <c r="Q337" i="5"/>
  <c r="Q196" i="5"/>
  <c r="Q260" i="5"/>
  <c r="Q42" i="5"/>
  <c r="Q276" i="5"/>
  <c r="Q83" i="5"/>
  <c r="Q87" i="5"/>
  <c r="Q405" i="5"/>
  <c r="Q268" i="5"/>
  <c r="Q519" i="5"/>
  <c r="Q478" i="5"/>
  <c r="Q407" i="5"/>
  <c r="Q532" i="5"/>
  <c r="Q49" i="5"/>
  <c r="Q86" i="5"/>
  <c r="Q526" i="5"/>
  <c r="Q450" i="5"/>
  <c r="Q270" i="5"/>
  <c r="Q310" i="5"/>
  <c r="Q360" i="5"/>
  <c r="Q490" i="5"/>
  <c r="Q406" i="5"/>
  <c r="Q316" i="5"/>
  <c r="Q447" i="5"/>
  <c r="Q521" i="5"/>
  <c r="Q41" i="5"/>
  <c r="Q353" i="5"/>
  <c r="Q90" i="5"/>
  <c r="Q313" i="5"/>
  <c r="Q420" i="5"/>
  <c r="Q493" i="5"/>
  <c r="Q148" i="5"/>
  <c r="Q152" i="5"/>
  <c r="Q162" i="5"/>
  <c r="Q112" i="5"/>
  <c r="Q395" i="5"/>
  <c r="Q127" i="5"/>
  <c r="Q232" i="5"/>
  <c r="Q94" i="5"/>
  <c r="Q439" i="5"/>
  <c r="Q271" i="5"/>
  <c r="Q147" i="5"/>
  <c r="Q226" i="5"/>
  <c r="Q227" i="5"/>
  <c r="Q355" i="5"/>
  <c r="Q203" i="5"/>
  <c r="Q235" i="5"/>
  <c r="Q221" i="5"/>
  <c r="Q510" i="5"/>
  <c r="Q59" i="5"/>
  <c r="Q383" i="5"/>
  <c r="Q481" i="5"/>
  <c r="Q22" i="5"/>
  <c r="Q546" i="5"/>
  <c r="Q67" i="5"/>
  <c r="Q457" i="5"/>
  <c r="Q280" i="5"/>
  <c r="Q556" i="5"/>
  <c r="Q188" i="5"/>
  <c r="Q516" i="5"/>
  <c r="Q335" i="5"/>
  <c r="Q85" i="5"/>
  <c r="Q252" i="5"/>
  <c r="Q169" i="5"/>
  <c r="Q145" i="5"/>
  <c r="Q126" i="5"/>
  <c r="Q50" i="5"/>
  <c r="Q142" i="5"/>
  <c r="Q560" i="5"/>
  <c r="Q178" i="5"/>
  <c r="Q376" i="5"/>
  <c r="Q295" i="5"/>
  <c r="Q544" i="5"/>
  <c r="Q195" i="5"/>
  <c r="Q539" i="5"/>
  <c r="Q193" i="5"/>
  <c r="Q425" i="5"/>
  <c r="Q486" i="5"/>
  <c r="Q218" i="5"/>
  <c r="Q319" i="5"/>
  <c r="Q98" i="5"/>
  <c r="Q20" i="5"/>
  <c r="Q342" i="5"/>
  <c r="Q500" i="5"/>
  <c r="Q21" i="5"/>
  <c r="Q259" i="5"/>
  <c r="Q231" i="5"/>
  <c r="Q537" i="5"/>
  <c r="Q559" i="5"/>
  <c r="Q289" i="5"/>
  <c r="Q391" i="5"/>
  <c r="Q190" i="5"/>
  <c r="Q138" i="5"/>
  <c r="Q444" i="5"/>
  <c r="Q206" i="5"/>
  <c r="Q225" i="5"/>
  <c r="Q398" i="5"/>
  <c r="Q508" i="5"/>
  <c r="Q306" i="5"/>
  <c r="Q514" i="5"/>
  <c r="Q181" i="5"/>
  <c r="Q324" i="5"/>
  <c r="Q462" i="5"/>
  <c r="Q68" i="5"/>
  <c r="Q413" i="5"/>
  <c r="Q489" i="5"/>
  <c r="Q476" i="5"/>
  <c r="Q415" i="5"/>
  <c r="Q57" i="5"/>
  <c r="Q536" i="5"/>
  <c r="Q65" i="5"/>
  <c r="Q441" i="5"/>
  <c r="Q234" i="5"/>
  <c r="Q401" i="5"/>
  <c r="Q120" i="5"/>
  <c r="Q201" i="5"/>
  <c r="Q507" i="5"/>
  <c r="Q37" i="5"/>
  <c r="Q71" i="5"/>
  <c r="Q209" i="5"/>
  <c r="Q520" i="5"/>
  <c r="Q343" i="5"/>
  <c r="Q249" i="5"/>
  <c r="Q435" i="5"/>
  <c r="Q299" i="5"/>
  <c r="Q533" i="5"/>
  <c r="Q116" i="5"/>
  <c r="Q357" i="5"/>
  <c r="Q102" i="5"/>
  <c r="Q419" i="5"/>
  <c r="Q180" i="5"/>
  <c r="Q512" i="5"/>
  <c r="Q47" i="5"/>
  <c r="Q253" i="5"/>
  <c r="Q60" i="5"/>
  <c r="Q105" i="5"/>
  <c r="Q36" i="5"/>
  <c r="Q128" i="5"/>
  <c r="Q527" i="5"/>
  <c r="Q557" i="5"/>
  <c r="Q25" i="5"/>
  <c r="Q125" i="5"/>
  <c r="Q93" i="5"/>
  <c r="Q267" i="5"/>
  <c r="Q121" i="5"/>
  <c r="Q223" i="5"/>
  <c r="Q237" i="5"/>
  <c r="Q331" i="5"/>
  <c r="Q80" i="5"/>
  <c r="Q378" i="5"/>
  <c r="Q91" i="5"/>
  <c r="Q394" i="5"/>
  <c r="Q141" i="5"/>
  <c r="Q257" i="5"/>
  <c r="Q191" i="5"/>
  <c r="Q555" i="5"/>
  <c r="Q56" i="5"/>
  <c r="Q454" i="5"/>
  <c r="Q497" i="5"/>
  <c r="Q182" i="5"/>
  <c r="Q109" i="5"/>
  <c r="Q34" i="5"/>
  <c r="Q298" i="5"/>
  <c r="Q256" i="5"/>
  <c r="Q373" i="5"/>
  <c r="Q240" i="5"/>
  <c r="Q509" i="5"/>
  <c r="Q423" i="5"/>
  <c r="Q369" i="5"/>
  <c r="Q107" i="5"/>
  <c r="Q210" i="5"/>
  <c r="Q118" i="5"/>
  <c r="Q323" i="5"/>
  <c r="Q222" i="5"/>
  <c r="Q443" i="5"/>
  <c r="Q367" i="5"/>
  <c r="Q265" i="5"/>
  <c r="Q129" i="5"/>
  <c r="Q303" i="5"/>
  <c r="Q242" i="5"/>
  <c r="Q264" i="5"/>
  <c r="Q151" i="5"/>
  <c r="Q318" i="5"/>
  <c r="Q302" i="5"/>
  <c r="Q375" i="5"/>
  <c r="Q381" i="5"/>
  <c r="Q522" i="5"/>
  <c r="Q13" i="5"/>
  <c r="Q550" i="5"/>
  <c r="Q432" i="5"/>
  <c r="Q282" i="5"/>
  <c r="Q183" i="5"/>
  <c r="Q35" i="5"/>
  <c r="Q135" i="5"/>
  <c r="Q63" i="5"/>
  <c r="Q311" i="5"/>
  <c r="Q179" i="5"/>
  <c r="Q9" i="5"/>
  <c r="AQ376" i="5"/>
  <c r="AR376" i="5"/>
  <c r="BI376" i="5"/>
  <c r="AQ300" i="5"/>
  <c r="AR300" i="5"/>
  <c r="BI300" i="5"/>
  <c r="AQ382" i="5"/>
  <c r="BI382" i="5"/>
  <c r="AR382" i="5"/>
  <c r="BI432" i="5"/>
  <c r="BI113" i="5"/>
  <c r="AR113" i="5"/>
  <c r="AQ113" i="5"/>
  <c r="AQ49" i="5"/>
  <c r="BI49" i="5"/>
  <c r="AR49" i="5"/>
  <c r="AQ228" i="5"/>
  <c r="AR228" i="5"/>
  <c r="BI228" i="5"/>
  <c r="AR264" i="5"/>
  <c r="BI264" i="5"/>
  <c r="AQ264" i="5"/>
  <c r="AR225" i="5"/>
  <c r="BI225" i="5"/>
  <c r="AQ225" i="5"/>
  <c r="AQ358" i="5"/>
  <c r="AR358" i="5"/>
  <c r="BI358" i="5"/>
  <c r="AR378" i="5"/>
  <c r="AQ378" i="5"/>
  <c r="BI378" i="5"/>
  <c r="AP84" i="5"/>
  <c r="AQ514" i="5"/>
  <c r="AR514" i="5"/>
  <c r="BI514" i="5"/>
  <c r="BI407" i="5"/>
  <c r="AR407" i="5"/>
  <c r="AQ407" i="5"/>
  <c r="AR293" i="5"/>
  <c r="BI293" i="5"/>
  <c r="AQ293" i="5"/>
  <c r="AP386" i="5"/>
  <c r="AQ25" i="5"/>
  <c r="BI25" i="5"/>
  <c r="AR25" i="5"/>
  <c r="BI81" i="5"/>
  <c r="AR81" i="5"/>
  <c r="AQ81" i="5"/>
  <c r="AQ508" i="5"/>
  <c r="AR508" i="5"/>
  <c r="BI508" i="5"/>
  <c r="AR373" i="5"/>
  <c r="AR468" i="5"/>
  <c r="BI468" i="5"/>
  <c r="AQ468" i="5"/>
  <c r="AR44" i="5"/>
  <c r="AQ44" i="5"/>
  <c r="BI44" i="5"/>
  <c r="AQ466" i="5"/>
  <c r="BI466" i="5"/>
  <c r="AR466" i="5"/>
  <c r="AR418" i="5"/>
  <c r="BI418" i="5"/>
  <c r="AQ418" i="5"/>
  <c r="AP219" i="5"/>
  <c r="AR306" i="5"/>
  <c r="AQ306" i="5"/>
  <c r="BI306" i="5"/>
  <c r="AQ157" i="5"/>
  <c r="AR157" i="5"/>
  <c r="BI157" i="5"/>
  <c r="AR383" i="5"/>
  <c r="BI456" i="5"/>
  <c r="AQ456" i="5"/>
  <c r="AR456" i="5"/>
  <c r="AQ130" i="5"/>
  <c r="AR130" i="5"/>
  <c r="BI130" i="5"/>
  <c r="AQ259" i="5"/>
  <c r="BI259" i="5"/>
  <c r="AR259" i="5"/>
  <c r="BI406" i="5"/>
  <c r="AQ406" i="5"/>
  <c r="AR406" i="5"/>
  <c r="BI137" i="5"/>
  <c r="AR137" i="5"/>
  <c r="AQ137" i="5"/>
  <c r="AP485" i="5"/>
  <c r="AQ67" i="5"/>
  <c r="BI67" i="5"/>
  <c r="AR67" i="5"/>
  <c r="AR410" i="5"/>
  <c r="BI410" i="5"/>
  <c r="AQ410" i="5"/>
  <c r="BI47" i="5"/>
  <c r="AQ47" i="5"/>
  <c r="AR47" i="5"/>
  <c r="AR442" i="5"/>
  <c r="AQ442" i="5"/>
  <c r="BI442" i="5"/>
  <c r="AR464" i="5"/>
  <c r="AQ464" i="5"/>
  <c r="BI464" i="5"/>
  <c r="AQ502" i="5"/>
  <c r="BI338" i="5"/>
  <c r="AQ338" i="5"/>
  <c r="AR338" i="5"/>
  <c r="BI220" i="5"/>
  <c r="AR220" i="5"/>
  <c r="AQ220" i="5"/>
  <c r="AR409" i="5"/>
  <c r="BI409" i="5"/>
  <c r="AQ409" i="5"/>
  <c r="AR457" i="5"/>
  <c r="BI457" i="5"/>
  <c r="AQ457" i="5"/>
  <c r="BI103" i="5"/>
  <c r="AQ103" i="5"/>
  <c r="AR103" i="5"/>
  <c r="AQ367" i="5"/>
  <c r="BI367" i="5"/>
  <c r="AR367" i="5"/>
  <c r="AQ204" i="5"/>
  <c r="AQ369" i="5"/>
  <c r="BI369" i="5"/>
  <c r="AR369" i="5"/>
  <c r="AR294" i="5"/>
  <c r="AQ294" i="5"/>
  <c r="BI294" i="5"/>
  <c r="AQ191" i="5"/>
  <c r="BI191" i="5"/>
  <c r="AR191" i="5"/>
  <c r="AR70" i="5"/>
  <c r="AQ70" i="5"/>
  <c r="BI70" i="5"/>
  <c r="AP151" i="5"/>
  <c r="AR348" i="5"/>
  <c r="BI126" i="5"/>
  <c r="AR404" i="5"/>
  <c r="BI447" i="5"/>
  <c r="BI417" i="5"/>
  <c r="AQ417" i="5"/>
  <c r="AR417" i="5"/>
  <c r="AR187" i="5"/>
  <c r="BI207" i="5"/>
  <c r="AQ207" i="5"/>
  <c r="AR207" i="5"/>
  <c r="AQ374" i="5"/>
  <c r="BI374" i="5"/>
  <c r="AR374" i="5"/>
  <c r="AQ166" i="5"/>
  <c r="AR166" i="5"/>
  <c r="BI166" i="5"/>
  <c r="AP73" i="5"/>
  <c r="BI46" i="5"/>
  <c r="AQ46" i="5"/>
  <c r="AR46" i="5"/>
  <c r="AQ190" i="5"/>
  <c r="AR190" i="5"/>
  <c r="BI190" i="5"/>
  <c r="AP372" i="5"/>
  <c r="AR36" i="5"/>
  <c r="BI36" i="5"/>
  <c r="AQ36" i="5"/>
  <c r="AQ480" i="5"/>
  <c r="BI480" i="5"/>
  <c r="AR480" i="5"/>
  <c r="AQ242" i="5"/>
  <c r="AR242" i="5"/>
  <c r="BI242" i="5"/>
  <c r="AR477" i="5"/>
  <c r="AE108" i="4"/>
  <c r="AH108" i="4"/>
  <c r="AQ375" i="5"/>
  <c r="BI375" i="5"/>
  <c r="AR375" i="5"/>
  <c r="BI193" i="5"/>
  <c r="AR498" i="5"/>
  <c r="AQ498" i="5"/>
  <c r="BI498" i="5"/>
  <c r="AQ560" i="5"/>
  <c r="AR560" i="5"/>
  <c r="BI560" i="5"/>
  <c r="AR253" i="5"/>
  <c r="AQ253" i="5"/>
  <c r="BI253" i="5"/>
  <c r="AQ431" i="5"/>
  <c r="AR431" i="5"/>
  <c r="BI431" i="5"/>
  <c r="AR345" i="5"/>
  <c r="BI345" i="5"/>
  <c r="AQ345" i="5"/>
  <c r="AR150" i="5"/>
  <c r="BI150" i="5"/>
  <c r="AQ150" i="5"/>
  <c r="BI309" i="5"/>
  <c r="AQ309" i="5"/>
  <c r="AR309" i="5"/>
  <c r="AR39" i="5"/>
  <c r="BI39" i="5"/>
  <c r="AQ39" i="5"/>
  <c r="AE150" i="4"/>
  <c r="AH150" i="4"/>
  <c r="Z150" i="4"/>
  <c r="AA150" i="4"/>
  <c r="AE57" i="4"/>
  <c r="AH57" i="4"/>
  <c r="AJ70" i="4"/>
  <c r="AA70" i="4"/>
  <c r="Z70" i="4"/>
  <c r="AE70" i="4"/>
  <c r="AH70" i="4"/>
  <c r="Z148" i="4"/>
  <c r="AH148" i="4"/>
  <c r="AE148" i="4"/>
  <c r="AA84" i="4"/>
  <c r="AH84" i="4"/>
  <c r="AE84" i="4"/>
  <c r="Z84" i="4"/>
  <c r="AH144" i="4"/>
  <c r="AE144" i="4"/>
  <c r="AE128" i="4"/>
  <c r="AH128" i="4"/>
  <c r="AH106" i="4"/>
  <c r="AE106" i="4"/>
  <c r="AE88" i="4"/>
  <c r="AA88" i="4"/>
  <c r="Z88" i="4"/>
  <c r="AH88" i="4"/>
  <c r="AH140" i="4"/>
  <c r="AJ140" i="4"/>
  <c r="AE140" i="4"/>
  <c r="AH20" i="4"/>
  <c r="Z20" i="4"/>
  <c r="X20" i="4" s="1"/>
  <c r="AJ20" i="4" s="1"/>
  <c r="AE20" i="4"/>
  <c r="AE135" i="4"/>
  <c r="AH135" i="4"/>
  <c r="AH55" i="4"/>
  <c r="AE55" i="4"/>
  <c r="AE105" i="4"/>
  <c r="AH105" i="4"/>
  <c r="AE130" i="4"/>
  <c r="AH130" i="4"/>
  <c r="AE43" i="4"/>
  <c r="AA43" i="4"/>
  <c r="AH43" i="4"/>
  <c r="Z43" i="4"/>
  <c r="AA119" i="4"/>
  <c r="AH119" i="4"/>
  <c r="Z119" i="4"/>
  <c r="AE119" i="4"/>
  <c r="AH39" i="4"/>
  <c r="AE39" i="4"/>
  <c r="Z39" i="4"/>
  <c r="AA39" i="4"/>
  <c r="AH102" i="4"/>
  <c r="AJ102" i="4"/>
  <c r="AE102" i="4"/>
  <c r="AE56" i="4"/>
  <c r="AH56" i="4"/>
  <c r="Z68" i="4"/>
  <c r="AH68" i="4"/>
  <c r="AE68" i="4"/>
  <c r="AA68" i="4"/>
  <c r="AE37" i="4"/>
  <c r="AH37" i="4"/>
  <c r="AA37" i="4"/>
  <c r="Z37" i="4"/>
  <c r="AA41" i="4"/>
  <c r="AH41" i="4"/>
  <c r="AE41" i="4"/>
  <c r="Z41" i="4"/>
  <c r="AE34" i="4"/>
  <c r="AH34" i="4"/>
  <c r="Z34" i="4"/>
  <c r="X34" i="4" s="1"/>
  <c r="AH113" i="4"/>
  <c r="AE113" i="4"/>
  <c r="AE109" i="4"/>
  <c r="AH109" i="4"/>
  <c r="AH136" i="4"/>
  <c r="AE136" i="4"/>
  <c r="AE129" i="4"/>
  <c r="AH129" i="4"/>
  <c r="AE98" i="4"/>
  <c r="AH98" i="4"/>
  <c r="AH64" i="4"/>
  <c r="AE64" i="4"/>
  <c r="AA64" i="4"/>
  <c r="Z64" i="4"/>
  <c r="AE146" i="4"/>
  <c r="AJ146" i="4"/>
  <c r="Z146" i="4"/>
  <c r="AA146" i="4"/>
  <c r="AH146" i="4"/>
  <c r="AE85" i="4"/>
  <c r="AH85" i="4"/>
  <c r="AR487" i="5"/>
  <c r="AQ487" i="5"/>
  <c r="BI487" i="5"/>
  <c r="AQ202" i="5"/>
  <c r="BI202" i="5"/>
  <c r="AR202" i="5"/>
  <c r="AR324" i="5"/>
  <c r="AR21" i="5"/>
  <c r="AQ21" i="5"/>
  <c r="BI21" i="5"/>
  <c r="AR493" i="5"/>
  <c r="BI493" i="5"/>
  <c r="AR285" i="5"/>
  <c r="BI285" i="5"/>
  <c r="AQ285" i="5"/>
  <c r="BI559" i="5"/>
  <c r="AQ559" i="5"/>
  <c r="AR559" i="5"/>
  <c r="AR379" i="5"/>
  <c r="BI379" i="5"/>
  <c r="AQ379" i="5"/>
  <c r="AR144" i="5"/>
  <c r="AQ144" i="5"/>
  <c r="BI144" i="5"/>
  <c r="BI482" i="5"/>
  <c r="AQ482" i="5"/>
  <c r="AR482" i="5"/>
  <c r="BI509" i="5"/>
  <c r="AQ509" i="5"/>
  <c r="AR509" i="5"/>
  <c r="AR355" i="5"/>
  <c r="AR35" i="5"/>
  <c r="AQ35" i="5"/>
  <c r="BI35" i="5"/>
  <c r="AQ518" i="5"/>
  <c r="BI518" i="5"/>
  <c r="AR518" i="5"/>
  <c r="AR238" i="5"/>
  <c r="AQ238" i="5"/>
  <c r="BI238" i="5"/>
  <c r="AQ192" i="5"/>
  <c r="BI192" i="5"/>
  <c r="AR192" i="5"/>
  <c r="AQ74" i="5"/>
  <c r="AR74" i="5"/>
  <c r="BI74" i="5"/>
  <c r="BI541" i="5"/>
  <c r="AQ541" i="5"/>
  <c r="AR541" i="5"/>
  <c r="AR224" i="5"/>
  <c r="AQ224" i="5"/>
  <c r="BI224" i="5"/>
  <c r="AQ298" i="5"/>
  <c r="AR298" i="5"/>
  <c r="BI298" i="5"/>
  <c r="AR270" i="5"/>
  <c r="BI270" i="5"/>
  <c r="AQ270" i="5"/>
  <c r="AR552" i="5"/>
  <c r="BI552" i="5"/>
  <c r="AQ552" i="5"/>
  <c r="AR413" i="5"/>
  <c r="AQ413" i="5"/>
  <c r="BI413" i="5"/>
  <c r="BI165" i="5"/>
  <c r="AR165" i="5"/>
  <c r="AQ165" i="5"/>
  <c r="AQ380" i="5"/>
  <c r="BI380" i="5"/>
  <c r="AR380" i="5"/>
  <c r="AR363" i="5"/>
  <c r="AQ363" i="5"/>
  <c r="BI363" i="5"/>
  <c r="AR484" i="5"/>
  <c r="AR521" i="5"/>
  <c r="BI521" i="5"/>
  <c r="AQ521" i="5"/>
  <c r="AQ75" i="5"/>
  <c r="AR75" i="5"/>
  <c r="BI75" i="5"/>
  <c r="AQ147" i="5"/>
  <c r="BI147" i="5"/>
  <c r="AR147" i="5"/>
  <c r="AQ398" i="5"/>
  <c r="AR398" i="5"/>
  <c r="BI398" i="5"/>
  <c r="AP186" i="5"/>
  <c r="BI271" i="5"/>
  <c r="AR271" i="5"/>
  <c r="AQ271" i="5"/>
  <c r="AQ50" i="5"/>
  <c r="AR53" i="5"/>
  <c r="BI53" i="5"/>
  <c r="AQ53" i="5"/>
  <c r="BI269" i="5"/>
  <c r="AP284" i="5"/>
  <c r="AP54" i="5"/>
  <c r="BI60" i="5"/>
  <c r="AQ553" i="5"/>
  <c r="BI553" i="5"/>
  <c r="AR553" i="5"/>
  <c r="AQ28" i="5"/>
  <c r="AR28" i="5"/>
  <c r="BI28" i="5"/>
  <c r="AP13" i="5"/>
  <c r="AQ239" i="5"/>
  <c r="AR239" i="5"/>
  <c r="BI239" i="5"/>
  <c r="AP209" i="5"/>
  <c r="AQ88" i="5"/>
  <c r="BI88" i="5"/>
  <c r="AR88" i="5"/>
  <c r="AQ51" i="5"/>
  <c r="BI223" i="5"/>
  <c r="AR223" i="5"/>
  <c r="AQ223" i="5"/>
  <c r="AP416" i="5"/>
  <c r="AR520" i="5"/>
  <c r="BI520" i="5"/>
  <c r="AQ520" i="5"/>
  <c r="AP462" i="5"/>
  <c r="AQ388" i="5"/>
  <c r="BI388" i="5"/>
  <c r="AR388" i="5"/>
  <c r="BI320" i="5"/>
  <c r="AR320" i="5"/>
  <c r="AQ320" i="5"/>
  <c r="AR503" i="5"/>
  <c r="AQ503" i="5"/>
  <c r="BI503" i="5"/>
  <c r="BI160" i="5"/>
  <c r="AQ160" i="5"/>
  <c r="AR160" i="5"/>
  <c r="BI549" i="5"/>
  <c r="AQ549" i="5"/>
  <c r="AR549" i="5"/>
  <c r="BI20" i="5"/>
  <c r="AR20" i="5"/>
  <c r="AQ20" i="5"/>
  <c r="BI474" i="5"/>
  <c r="AQ474" i="5"/>
  <c r="AR474" i="5"/>
  <c r="BI222" i="5"/>
  <c r="AP419" i="5"/>
  <c r="AP504" i="5"/>
  <c r="AQ434" i="5"/>
  <c r="BI434" i="5"/>
  <c r="AR434" i="5"/>
  <c r="BI429" i="5"/>
  <c r="AQ429" i="5"/>
  <c r="AR429" i="5"/>
  <c r="AQ216" i="5"/>
  <c r="BI216" i="5"/>
  <c r="AR216" i="5"/>
  <c r="BI558" i="5"/>
  <c r="AR558" i="5"/>
  <c r="AQ558" i="5"/>
  <c r="AR385" i="5"/>
  <c r="BI385" i="5"/>
  <c r="AQ385" i="5"/>
  <c r="AR526" i="5"/>
  <c r="BI526" i="5"/>
  <c r="AQ526" i="5"/>
  <c r="AR540" i="5"/>
  <c r="BI48" i="5"/>
  <c r="AQ48" i="5"/>
  <c r="AR48" i="5"/>
  <c r="AR123" i="5"/>
  <c r="AR279" i="5"/>
  <c r="BI279" i="5"/>
  <c r="AQ279" i="5"/>
  <c r="AR132" i="5"/>
  <c r="AQ132" i="5"/>
  <c r="BI132" i="5"/>
  <c r="BI361" i="5"/>
  <c r="AQ361" i="5"/>
  <c r="AR478" i="5"/>
  <c r="BI478" i="5"/>
  <c r="AQ478" i="5"/>
  <c r="BI555" i="5"/>
  <c r="AR555" i="5"/>
  <c r="AQ555" i="5"/>
  <c r="AR241" i="5"/>
  <c r="AQ241" i="5"/>
  <c r="BI241" i="5"/>
  <c r="BI506" i="5"/>
  <c r="AQ506" i="5"/>
  <c r="AR506" i="5"/>
  <c r="AQ401" i="5"/>
  <c r="BI401" i="5"/>
  <c r="AR401" i="5"/>
  <c r="AR443" i="5"/>
  <c r="BI467" i="5"/>
  <c r="AR467" i="5"/>
  <c r="AQ467" i="5"/>
  <c r="AR542" i="5"/>
  <c r="AQ542" i="5"/>
  <c r="BI542" i="5"/>
  <c r="AQ138" i="5"/>
  <c r="BI138" i="5"/>
  <c r="AR138" i="5"/>
  <c r="AQ310" i="5"/>
  <c r="AR415" i="5"/>
  <c r="AQ415" i="5"/>
  <c r="BI415" i="5"/>
  <c r="AQ255" i="5"/>
  <c r="AR255" i="5"/>
  <c r="BI255" i="5"/>
  <c r="BI89" i="5"/>
  <c r="BI243" i="5"/>
  <c r="BI112" i="5"/>
  <c r="AR112" i="5"/>
  <c r="AQ112" i="5"/>
  <c r="AR305" i="5"/>
  <c r="BI305" i="5"/>
  <c r="AQ305" i="5"/>
  <c r="BI55" i="5"/>
  <c r="AR55" i="5"/>
  <c r="AQ55" i="5"/>
  <c r="AR495" i="5"/>
  <c r="AQ495" i="5"/>
  <c r="BI495" i="5"/>
  <c r="AR281" i="5"/>
  <c r="AQ281" i="5"/>
  <c r="BI281" i="5"/>
  <c r="AP77" i="5"/>
  <c r="AR511" i="5"/>
  <c r="BI511" i="5"/>
  <c r="AQ511" i="5"/>
  <c r="BI517" i="5"/>
  <c r="AQ517" i="5"/>
  <c r="AR517" i="5"/>
  <c r="AR414" i="5"/>
  <c r="BI414" i="5"/>
  <c r="AQ414" i="5"/>
  <c r="BI499" i="5"/>
  <c r="AQ499" i="5"/>
  <c r="AR499" i="5"/>
  <c r="AR391" i="5"/>
  <c r="AQ391" i="5"/>
  <c r="BI391" i="5"/>
  <c r="AE117" i="4"/>
  <c r="AJ117" i="4"/>
  <c r="AH117" i="4"/>
  <c r="AE81" i="4"/>
  <c r="AH81" i="4"/>
  <c r="AO537" i="5"/>
  <c r="AN537" i="5"/>
  <c r="AO509" i="5"/>
  <c r="AN509" i="5"/>
  <c r="AN213" i="5"/>
  <c r="AO213" i="5"/>
  <c r="AN259" i="5"/>
  <c r="AO259" i="5"/>
  <c r="AN95" i="5"/>
  <c r="AO95" i="5"/>
  <c r="AO135" i="5"/>
  <c r="AN135" i="5"/>
  <c r="AO393" i="5"/>
  <c r="AN393" i="5"/>
  <c r="AN482" i="5"/>
  <c r="AO482" i="5"/>
  <c r="AN149" i="5"/>
  <c r="AO149" i="5"/>
  <c r="AN129" i="5"/>
  <c r="AO129" i="5"/>
  <c r="AO333" i="5"/>
  <c r="AN333" i="5"/>
  <c r="AO365" i="5"/>
  <c r="AN365" i="5"/>
  <c r="AO497" i="5"/>
  <c r="AN497" i="5"/>
  <c r="AN61" i="5"/>
  <c r="AO61" i="5"/>
  <c r="AO463" i="5"/>
  <c r="AN463" i="5"/>
  <c r="AO408" i="5"/>
  <c r="AN408" i="5"/>
  <c r="AN273" i="5"/>
  <c r="AO273" i="5"/>
  <c r="AO526" i="5"/>
  <c r="AN526" i="5"/>
  <c r="AN291" i="5"/>
  <c r="AO291" i="5"/>
  <c r="AN127" i="5"/>
  <c r="AO127" i="5"/>
  <c r="AO293" i="5"/>
  <c r="AN293" i="5"/>
  <c r="AN220" i="5"/>
  <c r="AO220" i="5"/>
  <c r="AO453" i="5"/>
  <c r="AN453" i="5"/>
  <c r="AN442" i="5"/>
  <c r="AO442" i="5"/>
  <c r="AN138" i="5"/>
  <c r="AO138" i="5"/>
  <c r="AO500" i="5"/>
  <c r="AN500" i="5"/>
  <c r="AO495" i="5"/>
  <c r="AN495" i="5"/>
  <c r="AN294" i="5"/>
  <c r="AO294" i="5"/>
  <c r="AO310" i="5"/>
  <c r="AN310" i="5"/>
  <c r="AO477" i="5"/>
  <c r="AN477" i="5"/>
  <c r="AO137" i="5"/>
  <c r="AN137" i="5"/>
  <c r="AO173" i="5"/>
  <c r="AN173" i="5"/>
  <c r="AO401" i="5"/>
  <c r="AN401" i="5"/>
  <c r="AO49" i="5"/>
  <c r="AN49" i="5"/>
  <c r="AN150" i="5"/>
  <c r="AO150" i="5"/>
  <c r="AO59" i="5"/>
  <c r="AN59" i="5"/>
  <c r="AO347" i="5"/>
  <c r="AN347" i="5"/>
  <c r="AN227" i="5"/>
  <c r="AO227" i="5"/>
  <c r="AN458" i="5"/>
  <c r="AO458" i="5"/>
  <c r="AN480" i="5"/>
  <c r="AO480" i="5"/>
  <c r="AN428" i="5"/>
  <c r="AO428" i="5"/>
  <c r="AN476" i="5"/>
  <c r="AO476" i="5"/>
  <c r="AN361" i="5"/>
  <c r="AO361" i="5"/>
  <c r="AN270" i="5"/>
  <c r="AO270" i="5"/>
  <c r="AN250" i="5"/>
  <c r="AO250" i="5"/>
  <c r="AN207" i="5"/>
  <c r="AO207" i="5"/>
  <c r="AN254" i="5"/>
  <c r="AO254" i="5"/>
  <c r="AO553" i="5"/>
  <c r="AN553" i="5"/>
  <c r="AN25" i="5"/>
  <c r="AO25" i="5"/>
  <c r="AN231" i="5"/>
  <c r="AO231" i="5"/>
  <c r="AO371" i="5"/>
  <c r="AN371" i="5"/>
  <c r="AO172" i="5"/>
  <c r="AN172" i="5"/>
  <c r="AN214" i="5"/>
  <c r="AO214" i="5"/>
  <c r="AO128" i="5"/>
  <c r="AN128" i="5"/>
  <c r="AN141" i="5"/>
  <c r="AO141" i="5"/>
  <c r="AN550" i="5"/>
  <c r="AO550" i="5"/>
  <c r="AN314" i="5"/>
  <c r="AO314" i="5"/>
  <c r="AN79" i="5"/>
  <c r="AO79" i="5"/>
  <c r="AO378" i="5"/>
  <c r="AN378" i="5"/>
  <c r="AO490" i="5"/>
  <c r="AN490" i="5"/>
  <c r="AO385" i="5"/>
  <c r="AN385" i="5"/>
  <c r="AO406" i="5"/>
  <c r="AN406" i="5"/>
  <c r="AN118" i="5"/>
  <c r="AO118" i="5"/>
  <c r="AO521" i="5"/>
  <c r="AN521" i="5"/>
  <c r="AO531" i="5"/>
  <c r="AN531" i="5"/>
  <c r="AO483" i="5"/>
  <c r="AN483" i="5"/>
  <c r="AO132" i="5"/>
  <c r="AN132" i="5"/>
  <c r="AO211" i="5"/>
  <c r="AN211" i="5"/>
  <c r="AN478" i="5"/>
  <c r="AO478" i="5"/>
  <c r="AO63" i="5"/>
  <c r="AN63" i="5"/>
  <c r="AN351" i="5"/>
  <c r="AO351" i="5"/>
  <c r="AN246" i="5"/>
  <c r="AO246" i="5"/>
  <c r="AN409" i="5"/>
  <c r="AO409" i="5"/>
  <c r="AO390" i="5"/>
  <c r="AN390" i="5"/>
  <c r="AO391" i="5"/>
  <c r="AN391" i="5"/>
  <c r="AO345" i="5"/>
  <c r="AN345" i="5"/>
  <c r="AN272" i="5"/>
  <c r="AO272" i="5"/>
  <c r="AO87" i="5"/>
  <c r="AN87" i="5"/>
  <c r="AN525" i="5"/>
  <c r="AO525" i="5"/>
  <c r="AO514" i="5"/>
  <c r="AN514" i="5"/>
  <c r="AO21" i="5"/>
  <c r="AN21" i="5"/>
  <c r="AO489" i="5"/>
  <c r="AN489" i="5"/>
  <c r="AO424" i="5"/>
  <c r="AN424" i="5"/>
  <c r="AN157" i="5"/>
  <c r="AO157" i="5"/>
  <c r="AN257" i="5"/>
  <c r="AO257" i="5"/>
  <c r="AO175" i="5"/>
  <c r="AN175" i="5"/>
  <c r="AO417" i="5"/>
  <c r="AN417" i="5"/>
  <c r="AH264" i="5"/>
  <c r="AI264" i="5"/>
  <c r="AI513" i="5"/>
  <c r="AH513" i="5"/>
  <c r="AI524" i="5"/>
  <c r="AH524" i="5"/>
  <c r="AI194" i="5"/>
  <c r="AH194" i="5"/>
  <c r="AI546" i="5"/>
  <c r="AH546" i="5"/>
  <c r="AI460" i="5"/>
  <c r="AH460" i="5"/>
  <c r="AH375" i="5"/>
  <c r="AI375" i="5"/>
  <c r="AH484" i="5"/>
  <c r="AI484" i="5"/>
  <c r="AH401" i="5"/>
  <c r="AI401" i="5"/>
  <c r="AI229" i="5"/>
  <c r="AH229" i="5"/>
  <c r="AH536" i="5"/>
  <c r="AI536" i="5"/>
  <c r="AI280" i="5"/>
  <c r="AH280" i="5"/>
  <c r="AH384" i="5"/>
  <c r="AI384" i="5"/>
  <c r="AH328" i="5"/>
  <c r="AI328" i="5"/>
  <c r="AI254" i="5"/>
  <c r="AH254" i="5"/>
  <c r="AI248" i="5"/>
  <c r="AH248" i="5"/>
  <c r="AH368" i="5"/>
  <c r="AI368" i="5"/>
  <c r="AI427" i="5"/>
  <c r="AH427" i="5"/>
  <c r="AH409" i="5"/>
  <c r="AI409" i="5"/>
  <c r="AH204" i="5"/>
  <c r="AI204" i="5"/>
  <c r="AI113" i="5"/>
  <c r="AH113" i="5"/>
  <c r="AH558" i="5"/>
  <c r="AI558" i="5"/>
  <c r="AI308" i="5"/>
  <c r="AH308" i="5"/>
  <c r="AI28" i="5"/>
  <c r="AH28" i="5"/>
  <c r="AI342" i="5"/>
  <c r="AH342" i="5"/>
  <c r="AI225" i="5"/>
  <c r="AH225" i="5"/>
  <c r="AI56" i="5"/>
  <c r="AH56" i="5"/>
  <c r="AI77" i="5"/>
  <c r="AH77" i="5"/>
  <c r="AI250" i="5"/>
  <c r="AH250" i="5"/>
  <c r="AH91" i="5"/>
  <c r="AI91" i="5"/>
  <c r="AH161" i="5"/>
  <c r="AI161" i="5"/>
  <c r="AH125" i="5"/>
  <c r="AI125" i="5"/>
  <c r="AH7" i="5"/>
  <c r="AI7" i="5"/>
  <c r="AI413" i="5"/>
  <c r="AH413" i="5"/>
  <c r="AH356" i="5"/>
  <c r="AI356" i="5"/>
  <c r="AI316" i="5"/>
  <c r="AH316" i="5"/>
  <c r="AH347" i="5"/>
  <c r="AI347" i="5"/>
  <c r="AI255" i="5"/>
  <c r="AH255" i="5"/>
  <c r="AH327" i="5"/>
  <c r="AI327" i="5"/>
  <c r="AH242" i="5"/>
  <c r="AI242" i="5"/>
  <c r="AI57" i="5"/>
  <c r="AH57" i="5"/>
  <c r="AH523" i="5"/>
  <c r="AI523" i="5"/>
  <c r="AI294" i="5"/>
  <c r="AH294" i="5"/>
  <c r="AH381" i="5"/>
  <c r="AI381" i="5"/>
  <c r="AH102" i="5"/>
  <c r="AI102" i="5"/>
  <c r="AI123" i="5"/>
  <c r="AH123" i="5"/>
  <c r="AH300" i="5"/>
  <c r="AI300" i="5"/>
  <c r="AH320" i="5"/>
  <c r="AI320" i="5"/>
  <c r="AI392" i="5"/>
  <c r="AH392" i="5"/>
  <c r="AI337" i="5"/>
  <c r="AH337" i="5"/>
  <c r="AH60" i="5"/>
  <c r="AI60" i="5"/>
  <c r="AI429" i="5"/>
  <c r="AH429" i="5"/>
  <c r="AH37" i="5"/>
  <c r="AI37" i="5"/>
  <c r="AH553" i="5"/>
  <c r="AI553" i="5"/>
  <c r="AI457" i="5"/>
  <c r="AH457" i="5"/>
  <c r="AH543" i="5"/>
  <c r="AI543" i="5"/>
  <c r="AI314" i="5"/>
  <c r="AH314" i="5"/>
  <c r="AH430" i="5"/>
  <c r="AI430" i="5"/>
  <c r="AH45" i="5"/>
  <c r="AI45" i="5"/>
  <c r="AI410" i="5"/>
  <c r="AH410" i="5"/>
  <c r="AH495" i="5"/>
  <c r="AI495" i="5"/>
  <c r="AH494" i="5"/>
  <c r="AI494" i="5"/>
  <c r="AI422" i="5"/>
  <c r="AH422" i="5"/>
  <c r="AI61" i="5"/>
  <c r="AH61" i="5"/>
  <c r="AH540" i="5"/>
  <c r="AI540" i="5"/>
  <c r="AH120" i="5"/>
  <c r="AI120" i="5"/>
  <c r="AI33" i="5"/>
  <c r="AH33" i="5"/>
  <c r="AH396" i="5"/>
  <c r="AI396" i="5"/>
  <c r="AI262" i="5"/>
  <c r="AH262" i="5"/>
  <c r="AI55" i="5"/>
  <c r="AH55" i="5"/>
  <c r="AI527" i="5"/>
  <c r="AH527" i="5"/>
  <c r="AI271" i="5"/>
  <c r="AH271" i="5"/>
  <c r="AH366" i="5"/>
  <c r="AI366" i="5"/>
  <c r="AI334" i="5"/>
  <c r="AH334" i="5"/>
  <c r="AH188" i="5"/>
  <c r="AI188" i="5"/>
  <c r="AH12" i="5"/>
  <c r="AI12" i="5"/>
  <c r="AH79" i="5"/>
  <c r="AI79" i="5"/>
  <c r="AH107" i="5"/>
  <c r="AI107" i="5"/>
  <c r="AI349" i="5"/>
  <c r="AH349" i="5"/>
  <c r="AH171" i="5"/>
  <c r="AI171" i="5"/>
  <c r="AH329" i="5"/>
  <c r="AI329" i="5"/>
  <c r="AI505" i="5"/>
  <c r="AH505" i="5"/>
  <c r="AI258" i="5"/>
  <c r="AH258" i="5"/>
  <c r="AH322" i="5"/>
  <c r="AI322" i="5"/>
  <c r="AI530" i="5"/>
  <c r="AH530" i="5"/>
  <c r="AI154" i="5"/>
  <c r="AH154" i="5"/>
  <c r="AI276" i="5"/>
  <c r="AH276" i="5"/>
  <c r="AI340" i="5"/>
  <c r="AH340" i="5"/>
  <c r="AI76" i="5"/>
  <c r="AH76" i="5"/>
  <c r="AI395" i="5"/>
  <c r="AH395" i="5"/>
  <c r="AI514" i="5"/>
  <c r="AH514" i="5"/>
  <c r="AH369" i="5"/>
  <c r="AI369" i="5"/>
  <c r="AH25" i="5"/>
  <c r="AI25" i="5"/>
  <c r="AH491" i="5"/>
  <c r="AI491" i="5"/>
  <c r="AH353" i="5"/>
  <c r="AI353" i="5"/>
  <c r="AH531" i="5"/>
  <c r="AI531" i="5"/>
  <c r="AH115" i="5"/>
  <c r="AI115" i="5"/>
  <c r="AI93" i="5"/>
  <c r="AH93" i="5"/>
  <c r="AH552" i="5"/>
  <c r="AI552" i="5"/>
  <c r="AI345" i="5"/>
  <c r="AH345" i="5"/>
  <c r="AI111" i="5"/>
  <c r="AH111" i="5"/>
  <c r="AI503" i="5"/>
  <c r="AH503" i="5"/>
  <c r="AH295" i="5"/>
  <c r="AI295" i="5"/>
  <c r="AH211" i="5"/>
  <c r="AI211" i="5"/>
  <c r="AH97" i="5"/>
  <c r="AI97" i="5"/>
  <c r="AH325" i="5"/>
  <c r="AI325" i="5"/>
  <c r="AI390" i="5"/>
  <c r="AH390" i="5"/>
  <c r="AH436" i="5"/>
  <c r="AI436" i="5"/>
  <c r="AH547" i="5"/>
  <c r="AI547" i="5"/>
  <c r="AI75" i="5"/>
  <c r="AH75" i="5"/>
  <c r="AI142" i="5"/>
  <c r="AH142" i="5"/>
  <c r="AH47" i="5"/>
  <c r="AI47" i="5"/>
  <c r="AH205" i="5"/>
  <c r="AI205" i="5"/>
  <c r="AI542" i="5"/>
  <c r="AH542" i="5"/>
  <c r="AI73" i="5"/>
  <c r="AH73" i="5"/>
  <c r="AI555" i="5"/>
  <c r="AH555" i="5"/>
  <c r="AH348" i="5"/>
  <c r="AI348" i="5"/>
  <c r="AH144" i="5"/>
  <c r="AI144" i="5"/>
  <c r="AI441" i="5"/>
  <c r="AH441" i="5"/>
  <c r="AI71" i="5"/>
  <c r="AH71" i="5"/>
  <c r="AI46" i="5"/>
  <c r="AH46" i="5"/>
  <c r="AH383" i="5"/>
  <c r="AI383" i="5"/>
  <c r="AH266" i="5"/>
  <c r="AI266" i="5"/>
  <c r="AI360" i="5"/>
  <c r="AH360" i="5"/>
  <c r="AI219" i="5"/>
  <c r="AH219" i="5"/>
  <c r="AH377" i="5"/>
  <c r="AI377" i="5"/>
  <c r="AH22" i="5"/>
  <c r="AI22" i="5"/>
  <c r="AH170" i="5"/>
  <c r="AI170" i="5"/>
  <c r="AH94" i="5"/>
  <c r="AI94" i="5"/>
  <c r="AI89" i="5"/>
  <c r="AH89" i="5"/>
  <c r="AI84" i="5"/>
  <c r="AH84" i="5"/>
  <c r="AH29" i="5"/>
  <c r="AI29" i="5"/>
  <c r="AI165" i="5"/>
  <c r="AH165" i="5"/>
  <c r="AH463" i="5"/>
  <c r="AI463" i="5"/>
  <c r="AH324" i="5"/>
  <c r="AI324" i="5"/>
  <c r="AI181" i="5"/>
  <c r="AH181" i="5"/>
  <c r="AH12" i="4"/>
  <c r="AE12" i="4"/>
  <c r="Z12" i="4"/>
  <c r="X12" i="4" s="1"/>
  <c r="AJ12" i="4" s="1"/>
  <c r="AH71" i="4"/>
  <c r="Z71" i="4"/>
  <c r="AE71" i="4"/>
  <c r="AA71" i="4"/>
  <c r="AJ49" i="4"/>
  <c r="AA49" i="4"/>
  <c r="AE49" i="4"/>
  <c r="Z49" i="4"/>
  <c r="AH49" i="4"/>
  <c r="Z157" i="4"/>
  <c r="AH157" i="4"/>
  <c r="AE157" i="4"/>
  <c r="AA157" i="4"/>
  <c r="AH155" i="4"/>
  <c r="AE155" i="4"/>
  <c r="AH73" i="4"/>
  <c r="AE73" i="4"/>
  <c r="AH152" i="4"/>
  <c r="AE152" i="4"/>
  <c r="AE124" i="4"/>
  <c r="AH124" i="4"/>
  <c r="AH26" i="4"/>
  <c r="AE26" i="4"/>
  <c r="Z26" i="4"/>
  <c r="X26" i="4" s="1"/>
  <c r="AJ26" i="4" s="1"/>
  <c r="AE110" i="4"/>
  <c r="AH110" i="4"/>
  <c r="AJ110" i="4"/>
  <c r="AH123" i="4"/>
  <c r="AE123" i="4"/>
  <c r="AA123" i="4"/>
  <c r="AE60" i="4"/>
  <c r="AH60" i="4"/>
  <c r="AE58" i="4"/>
  <c r="AH58" i="4"/>
  <c r="AA58" i="4"/>
  <c r="Z58" i="4"/>
  <c r="AE153" i="4"/>
  <c r="AJ153" i="4"/>
  <c r="AA153" i="4"/>
  <c r="Z153" i="4"/>
  <c r="AH153" i="4"/>
  <c r="AE149" i="4"/>
  <c r="AH149" i="4"/>
  <c r="AH66" i="4"/>
  <c r="AE66" i="4"/>
  <c r="AH23" i="4"/>
  <c r="AE23" i="4"/>
  <c r="Z23" i="4"/>
  <c r="X23" i="4" s="1"/>
  <c r="AJ23" i="4" s="1"/>
  <c r="AE112" i="4"/>
  <c r="AJ112" i="4"/>
  <c r="AH112" i="4"/>
  <c r="AH131" i="4"/>
  <c r="AE131" i="4"/>
  <c r="Z131" i="4"/>
  <c r="AA131" i="4"/>
  <c r="AE36" i="4"/>
  <c r="AA36" i="4"/>
  <c r="Z36" i="4"/>
  <c r="AH36" i="4"/>
  <c r="AH14" i="4"/>
  <c r="AE14" i="4"/>
  <c r="Z14" i="4"/>
  <c r="X14" i="4" s="1"/>
  <c r="AJ14" i="4" s="1"/>
  <c r="AE42" i="4"/>
  <c r="AA42" i="4"/>
  <c r="AH42" i="4"/>
  <c r="Z42" i="4"/>
  <c r="AE32" i="4"/>
  <c r="Z32" i="4"/>
  <c r="X32" i="4" s="1"/>
  <c r="AJ32" i="4" s="1"/>
  <c r="AH32" i="4"/>
  <c r="AE72" i="4"/>
  <c r="AH72" i="4"/>
  <c r="Z72" i="4"/>
  <c r="AA72" i="4"/>
  <c r="AH116" i="4"/>
  <c r="AE116" i="4"/>
  <c r="AQ128" i="5"/>
  <c r="AR128" i="5"/>
  <c r="BI128" i="5"/>
  <c r="AR140" i="5"/>
  <c r="AQ140" i="5"/>
  <c r="BI140" i="5"/>
  <c r="AP267" i="5"/>
  <c r="AQ231" i="5"/>
  <c r="BI231" i="5"/>
  <c r="AR231" i="5"/>
  <c r="AR486" i="5"/>
  <c r="AQ295" i="5"/>
  <c r="AR295" i="5"/>
  <c r="BI295" i="5"/>
  <c r="BI370" i="5"/>
  <c r="BI430" i="5"/>
  <c r="AR430" i="5"/>
  <c r="AQ430" i="5"/>
  <c r="BI234" i="5"/>
  <c r="BI153" i="5"/>
  <c r="BI205" i="5"/>
  <c r="AR205" i="5"/>
  <c r="AQ205" i="5"/>
  <c r="AR177" i="5"/>
  <c r="BI177" i="5"/>
  <c r="AQ177" i="5"/>
  <c r="AR189" i="5"/>
  <c r="AQ146" i="5"/>
  <c r="AR146" i="5"/>
  <c r="BI146" i="5"/>
  <c r="AR360" i="5"/>
  <c r="BI360" i="5"/>
  <c r="AQ360" i="5"/>
  <c r="AP148" i="5"/>
  <c r="AQ292" i="5"/>
  <c r="BI292" i="5"/>
  <c r="AR292" i="5"/>
  <c r="AQ440" i="5"/>
  <c r="BI440" i="5"/>
  <c r="AR440" i="5"/>
  <c r="AQ321" i="5"/>
  <c r="BI321" i="5"/>
  <c r="AR321" i="5"/>
  <c r="AQ461" i="5"/>
  <c r="BI461" i="5"/>
  <c r="AR461" i="5"/>
  <c r="AP452" i="5"/>
  <c r="AP33" i="5"/>
  <c r="AP497" i="5"/>
  <c r="AP9" i="5"/>
  <c r="AJ67" i="4"/>
  <c r="AH67" i="4"/>
  <c r="AE67" i="4"/>
  <c r="AH31" i="4"/>
  <c r="Z31" i="4"/>
  <c r="AE31" i="4"/>
  <c r="AH145" i="4"/>
  <c r="AE145" i="4"/>
  <c r="AE93" i="4"/>
  <c r="AH93" i="4"/>
  <c r="AH59" i="4"/>
  <c r="AE59" i="4"/>
  <c r="AJ94" i="4"/>
  <c r="AE94" i="4"/>
  <c r="AH94" i="4"/>
  <c r="AH121" i="4"/>
  <c r="AE121" i="4"/>
  <c r="AE126" i="4"/>
  <c r="AH126" i="4"/>
  <c r="AE74" i="4"/>
  <c r="AJ74" i="4"/>
  <c r="AH74" i="4"/>
  <c r="AE83" i="4"/>
  <c r="Z83" i="4"/>
  <c r="AA83" i="4"/>
  <c r="AH83" i="4"/>
  <c r="AH79" i="4"/>
  <c r="AJ79" i="4"/>
  <c r="AE79" i="4"/>
  <c r="AX9" i="5"/>
  <c r="AY9" i="5"/>
  <c r="AO560" i="5"/>
  <c r="AN560" i="5"/>
  <c r="AO451" i="5"/>
  <c r="AN451" i="5"/>
  <c r="AN274" i="5"/>
  <c r="AO274" i="5"/>
  <c r="AO190" i="5"/>
  <c r="AN190" i="5"/>
  <c r="AO377" i="5"/>
  <c r="AN377" i="5"/>
  <c r="AO308" i="5"/>
  <c r="AN308" i="5"/>
  <c r="AN222" i="5"/>
  <c r="AO222" i="5"/>
  <c r="AO412" i="5"/>
  <c r="AN412" i="5"/>
  <c r="AO375" i="5"/>
  <c r="AN375" i="5"/>
  <c r="AN494" i="5"/>
  <c r="AO494" i="5"/>
  <c r="AO140" i="5"/>
  <c r="AN140" i="5"/>
  <c r="AO329" i="5"/>
  <c r="AN329" i="5"/>
  <c r="AO241" i="5"/>
  <c r="AN241" i="5"/>
  <c r="AO474" i="5"/>
  <c r="AN474" i="5"/>
  <c r="AO38" i="5"/>
  <c r="AN38" i="5"/>
  <c r="AN28" i="5"/>
  <c r="AO28" i="5"/>
  <c r="AN295" i="5"/>
  <c r="AO295" i="5"/>
  <c r="AO450" i="5"/>
  <c r="AN450" i="5"/>
  <c r="AO193" i="5"/>
  <c r="AN193" i="5"/>
  <c r="AN275" i="5"/>
  <c r="AO275" i="5"/>
  <c r="AN160" i="5"/>
  <c r="AO160" i="5"/>
  <c r="AO353" i="5"/>
  <c r="AN353" i="5"/>
  <c r="AN178" i="5"/>
  <c r="AO178" i="5"/>
  <c r="AO454" i="5"/>
  <c r="AN454" i="5"/>
  <c r="AO432" i="5"/>
  <c r="AN432" i="5"/>
  <c r="AN153" i="5"/>
  <c r="AO153" i="5"/>
  <c r="AO225" i="5"/>
  <c r="AN225" i="5"/>
  <c r="AN189" i="5"/>
  <c r="AO189" i="5"/>
  <c r="AO535" i="5"/>
  <c r="AN535" i="5"/>
  <c r="AN438" i="5"/>
  <c r="AO438" i="5"/>
  <c r="AO358" i="5"/>
  <c r="AN358" i="5"/>
  <c r="AO515" i="5"/>
  <c r="AN515" i="5"/>
  <c r="AN413" i="5"/>
  <c r="AO413" i="5"/>
  <c r="AO244" i="5"/>
  <c r="AN244" i="5"/>
  <c r="AN196" i="5"/>
  <c r="AO196" i="5"/>
  <c r="AN170" i="5"/>
  <c r="AO170" i="5"/>
  <c r="AO108" i="5"/>
  <c r="AN108" i="5"/>
  <c r="AO144" i="5"/>
  <c r="AN144" i="5"/>
  <c r="AO325" i="5"/>
  <c r="AN325" i="5"/>
  <c r="AO536" i="5"/>
  <c r="AN536" i="5"/>
  <c r="AN107" i="5"/>
  <c r="AO107" i="5"/>
  <c r="AO383" i="5"/>
  <c r="AN383" i="5"/>
  <c r="AO387" i="5"/>
  <c r="AN387" i="5"/>
  <c r="AN327" i="5"/>
  <c r="AO327" i="5"/>
  <c r="AN105" i="5"/>
  <c r="AO105" i="5"/>
  <c r="AO26" i="5"/>
  <c r="AN26" i="5"/>
  <c r="AN517" i="5"/>
  <c r="AO517" i="5"/>
  <c r="AO236" i="5"/>
  <c r="AN236" i="5"/>
  <c r="AO548" i="5"/>
  <c r="AN548" i="5"/>
  <c r="AN81" i="5"/>
  <c r="AO81" i="5"/>
  <c r="AN39" i="5"/>
  <c r="AO39" i="5"/>
  <c r="AO243" i="5"/>
  <c r="AN243" i="5"/>
  <c r="AO287" i="5"/>
  <c r="AN287" i="5"/>
  <c r="AN348" i="5"/>
  <c r="AO348" i="5"/>
  <c r="AO194" i="5"/>
  <c r="AN194" i="5"/>
  <c r="AO459" i="5"/>
  <c r="AN459" i="5"/>
  <c r="AO337" i="5"/>
  <c r="AN337" i="5"/>
  <c r="AO366" i="5"/>
  <c r="AN366" i="5"/>
  <c r="AN354" i="5"/>
  <c r="AO354" i="5"/>
  <c r="AO426" i="5"/>
  <c r="AN426" i="5"/>
  <c r="AO82" i="5"/>
  <c r="AN82" i="5"/>
  <c r="AO42" i="5"/>
  <c r="AN42" i="5"/>
  <c r="AO120" i="5"/>
  <c r="AN120" i="5"/>
  <c r="AN230" i="5"/>
  <c r="AO230" i="5"/>
  <c r="AO469" i="5"/>
  <c r="AN469" i="5"/>
  <c r="AO309" i="5"/>
  <c r="AN309" i="5"/>
  <c r="AO292" i="5"/>
  <c r="AN292" i="5"/>
  <c r="AN382" i="5"/>
  <c r="AO382" i="5"/>
  <c r="AO27" i="5"/>
  <c r="AN27" i="5"/>
  <c r="AO163" i="5"/>
  <c r="AN163" i="5"/>
  <c r="AO389" i="5"/>
  <c r="AN389" i="5"/>
  <c r="AN356" i="5"/>
  <c r="AO356" i="5"/>
  <c r="AN115" i="5"/>
  <c r="AO115" i="5"/>
  <c r="AN559" i="5"/>
  <c r="AO559" i="5"/>
  <c r="AN229" i="5"/>
  <c r="AO229" i="5"/>
  <c r="AO461" i="5"/>
  <c r="AN461" i="5"/>
  <c r="AN45" i="5"/>
  <c r="AO45" i="5"/>
  <c r="AN113" i="5"/>
  <c r="AO113" i="5"/>
  <c r="AO403" i="5"/>
  <c r="AN403" i="5"/>
  <c r="AN496" i="5"/>
  <c r="AO496" i="5"/>
  <c r="AO399" i="5"/>
  <c r="AN399" i="5"/>
  <c r="AO234" i="5"/>
  <c r="AN234" i="5"/>
  <c r="AO472" i="5"/>
  <c r="AN472" i="5"/>
  <c r="AN44" i="5"/>
  <c r="AO44" i="5"/>
  <c r="AN367" i="5"/>
  <c r="AO367" i="5"/>
  <c r="AN506" i="5"/>
  <c r="AO506" i="5"/>
  <c r="AN208" i="5"/>
  <c r="AO208" i="5"/>
  <c r="AN465" i="5"/>
  <c r="AO465" i="5"/>
  <c r="AO511" i="5"/>
  <c r="AN511" i="5"/>
  <c r="AO256" i="5"/>
  <c r="AN256" i="5"/>
  <c r="AN197" i="5"/>
  <c r="AO197" i="5"/>
  <c r="AO122" i="5"/>
  <c r="AN122" i="5"/>
  <c r="AN436" i="5"/>
  <c r="AO436" i="5"/>
  <c r="AO167" i="5"/>
  <c r="AN167" i="5"/>
  <c r="AN76" i="5"/>
  <c r="AO76" i="5"/>
  <c r="AO341" i="5"/>
  <c r="AN341" i="5"/>
  <c r="AN86" i="5"/>
  <c r="AO86" i="5"/>
  <c r="AO210" i="5"/>
  <c r="AN210" i="5"/>
  <c r="AN305" i="5"/>
  <c r="AO305" i="5"/>
  <c r="AO57" i="5"/>
  <c r="AN57" i="5"/>
  <c r="AN83" i="5"/>
  <c r="AO83" i="5"/>
  <c r="AO268" i="5"/>
  <c r="AN268" i="5"/>
  <c r="AO117" i="5"/>
  <c r="AN117" i="5"/>
  <c r="AN156" i="5"/>
  <c r="AO156" i="5"/>
  <c r="AN285" i="5"/>
  <c r="AO285" i="5"/>
  <c r="AN414" i="5"/>
  <c r="AO414" i="5"/>
  <c r="AO518" i="5"/>
  <c r="AN518" i="5"/>
  <c r="AN74" i="5"/>
  <c r="AO74" i="5"/>
  <c r="AN443" i="5"/>
  <c r="AO443" i="5"/>
  <c r="AN242" i="5"/>
  <c r="AO242" i="5"/>
  <c r="AO507" i="5"/>
  <c r="AN507" i="5"/>
  <c r="AO71" i="5"/>
  <c r="AN71" i="5"/>
  <c r="AN282" i="5"/>
  <c r="AO282" i="5"/>
  <c r="AO201" i="5"/>
  <c r="AN201" i="5"/>
  <c r="AN445" i="5"/>
  <c r="AO445" i="5"/>
  <c r="AN277" i="5"/>
  <c r="AO277" i="5"/>
  <c r="AN133" i="5"/>
  <c r="AO133" i="5"/>
  <c r="AO31" i="5"/>
  <c r="AN31" i="5"/>
  <c r="AO171" i="5"/>
  <c r="AN171" i="5"/>
  <c r="AN48" i="5"/>
  <c r="AO48" i="5"/>
  <c r="AN539" i="5"/>
  <c r="AO539" i="5"/>
  <c r="AO224" i="5"/>
  <c r="AN224" i="5"/>
  <c r="AN124" i="5"/>
  <c r="AO124" i="5"/>
  <c r="AN374" i="5"/>
  <c r="AO374" i="5"/>
  <c r="AO380" i="5"/>
  <c r="AN380" i="5"/>
  <c r="AO182" i="5"/>
  <c r="AN182" i="5"/>
  <c r="AN418" i="5"/>
  <c r="AO418" i="5"/>
  <c r="AN226" i="5"/>
  <c r="AO226" i="5"/>
  <c r="AO376" i="5"/>
  <c r="AN376" i="5"/>
  <c r="AN288" i="5"/>
  <c r="AO288" i="5"/>
  <c r="AN546" i="5"/>
  <c r="AO546" i="5"/>
  <c r="AN322" i="5"/>
  <c r="AO322" i="5"/>
  <c r="AN429" i="5"/>
  <c r="AO429" i="5"/>
  <c r="AN139" i="5"/>
  <c r="AO139" i="5"/>
  <c r="AN373" i="5"/>
  <c r="AO373" i="5"/>
  <c r="AO467" i="5"/>
  <c r="AN467" i="5"/>
  <c r="AO430" i="5"/>
  <c r="AN430" i="5"/>
  <c r="AH216" i="5"/>
  <c r="AI216" i="5"/>
  <c r="AH424" i="5"/>
  <c r="AI424" i="5"/>
  <c r="AH51" i="5"/>
  <c r="AI51" i="5"/>
  <c r="AH286" i="5"/>
  <c r="AI286" i="5"/>
  <c r="AI417" i="5"/>
  <c r="AH417" i="5"/>
  <c r="AI421" i="5"/>
  <c r="AH421" i="5"/>
  <c r="AH414" i="5"/>
  <c r="AI414" i="5"/>
  <c r="AH550" i="5"/>
  <c r="AI550" i="5"/>
  <c r="AI464" i="5"/>
  <c r="AH464" i="5"/>
  <c r="AH406" i="5"/>
  <c r="AI406" i="5"/>
  <c r="AH198" i="5"/>
  <c r="AI198" i="5"/>
  <c r="AI31" i="5"/>
  <c r="AH31" i="5"/>
  <c r="AH74" i="5"/>
  <c r="AI74" i="5"/>
  <c r="AI549" i="5"/>
  <c r="AH549" i="5"/>
  <c r="AI385" i="5"/>
  <c r="AH385" i="5"/>
  <c r="AI23" i="5"/>
  <c r="AH23" i="5"/>
  <c r="AI265" i="5"/>
  <c r="AH265" i="5"/>
  <c r="AH296" i="5"/>
  <c r="AI296" i="5"/>
  <c r="AH548" i="5"/>
  <c r="AI548" i="5"/>
  <c r="AH358" i="5"/>
  <c r="AI358" i="5"/>
  <c r="AH212" i="5"/>
  <c r="AI212" i="5"/>
  <c r="AI103" i="5"/>
  <c r="AH103" i="5"/>
  <c r="AH268" i="5"/>
  <c r="AI268" i="5"/>
  <c r="AH152" i="5"/>
  <c r="AI152" i="5"/>
  <c r="AH518" i="5"/>
  <c r="AI518" i="5"/>
  <c r="AI178" i="5"/>
  <c r="AH178" i="5"/>
  <c r="AH78" i="5"/>
  <c r="AI78" i="5"/>
  <c r="AI291" i="5"/>
  <c r="AH291" i="5"/>
  <c r="AH389" i="5"/>
  <c r="AI389" i="5"/>
  <c r="AH69" i="5"/>
  <c r="AI69" i="5"/>
  <c r="AH283" i="5"/>
  <c r="AI283" i="5"/>
  <c r="AI50" i="5"/>
  <c r="AH50" i="5"/>
  <c r="AI174" i="5"/>
  <c r="AH174" i="5"/>
  <c r="AH146" i="5"/>
  <c r="AI146" i="5"/>
  <c r="AI499" i="5"/>
  <c r="AH499" i="5"/>
  <c r="AI382" i="5"/>
  <c r="AH382" i="5"/>
  <c r="AI63" i="5"/>
  <c r="AH63" i="5"/>
  <c r="AH319" i="5"/>
  <c r="AI319" i="5"/>
  <c r="AI59" i="5"/>
  <c r="AH59" i="5"/>
  <c r="AH10" i="5"/>
  <c r="AI10" i="5"/>
  <c r="AI253" i="5"/>
  <c r="AH253" i="5"/>
  <c r="AI317" i="5"/>
  <c r="AH317" i="5"/>
  <c r="AI462" i="5"/>
  <c r="AH462" i="5"/>
  <c r="AI425" i="5"/>
  <c r="AH425" i="5"/>
  <c r="AI87" i="5"/>
  <c r="AH87" i="5"/>
  <c r="AI447" i="5"/>
  <c r="AH447" i="5"/>
  <c r="AI21" i="5"/>
  <c r="AH21" i="5"/>
  <c r="AH493" i="5"/>
  <c r="AI493" i="5"/>
  <c r="AH519" i="5"/>
  <c r="AI519" i="5"/>
  <c r="AI43" i="5"/>
  <c r="AH43" i="5"/>
  <c r="AH36" i="5"/>
  <c r="AI36" i="5"/>
  <c r="AI239" i="5"/>
  <c r="AH239" i="5"/>
  <c r="AI233" i="5"/>
  <c r="AH233" i="5"/>
  <c r="AH405" i="5"/>
  <c r="AI405" i="5"/>
  <c r="AH48" i="5"/>
  <c r="AI48" i="5"/>
  <c r="AH136" i="5"/>
  <c r="AI136" i="5"/>
  <c r="AH208" i="5"/>
  <c r="AI208" i="5"/>
  <c r="AH82" i="5"/>
  <c r="AI82" i="5"/>
  <c r="AH354" i="5"/>
  <c r="AI354" i="5"/>
  <c r="AH259" i="5"/>
  <c r="AI259" i="5"/>
  <c r="AH34" i="5"/>
  <c r="AI34" i="5"/>
  <c r="AH292" i="5"/>
  <c r="AI292" i="5"/>
  <c r="AH439" i="5"/>
  <c r="AI439" i="5"/>
  <c r="AH189" i="5"/>
  <c r="AI189" i="5"/>
  <c r="AI560" i="5"/>
  <c r="AH560" i="5"/>
  <c r="AI230" i="5"/>
  <c r="AH230" i="5"/>
  <c r="AH121" i="5"/>
  <c r="AI121" i="5"/>
  <c r="AH541" i="5"/>
  <c r="AI541" i="5"/>
  <c r="AI408" i="5"/>
  <c r="AH408" i="5"/>
  <c r="AH330" i="5"/>
  <c r="AI330" i="5"/>
  <c r="AH41" i="5"/>
  <c r="AI41" i="5"/>
  <c r="AI391" i="5"/>
  <c r="AH391" i="5"/>
  <c r="AH244" i="5"/>
  <c r="AI244" i="5"/>
  <c r="AI166" i="5"/>
  <c r="AH166" i="5"/>
  <c r="AI282" i="5"/>
  <c r="AH282" i="5"/>
  <c r="AI100" i="5"/>
  <c r="AH100" i="5"/>
  <c r="AI221" i="5"/>
  <c r="AH221" i="5"/>
  <c r="AH433" i="5"/>
  <c r="AI433" i="5"/>
  <c r="AI273" i="5"/>
  <c r="AH273" i="5"/>
  <c r="AH278" i="5"/>
  <c r="AI278" i="5"/>
  <c r="AI177" i="5"/>
  <c r="AH177" i="5"/>
  <c r="AI285" i="5"/>
  <c r="AH285" i="5"/>
  <c r="AI465" i="5"/>
  <c r="AH465" i="5"/>
  <c r="AH306" i="5"/>
  <c r="AI306" i="5"/>
  <c r="AI372" i="5"/>
  <c r="AH372" i="5"/>
  <c r="AI399" i="5"/>
  <c r="AH399" i="5"/>
  <c r="AH318" i="5"/>
  <c r="AI318" i="5"/>
  <c r="AH106" i="5"/>
  <c r="AI106" i="5"/>
  <c r="AH478" i="5"/>
  <c r="AI478" i="5"/>
  <c r="AH466" i="5"/>
  <c r="AI466" i="5"/>
  <c r="AH434" i="5"/>
  <c r="AI434" i="5"/>
  <c r="AH556" i="5"/>
  <c r="AI556" i="5"/>
  <c r="AI394" i="5"/>
  <c r="AH394" i="5"/>
  <c r="AI235" i="5"/>
  <c r="AH235" i="5"/>
  <c r="AH445" i="5"/>
  <c r="AI445" i="5"/>
  <c r="AH476" i="5"/>
  <c r="AI476" i="5"/>
  <c r="AI80" i="5"/>
  <c r="AH80" i="5"/>
  <c r="AH498" i="5"/>
  <c r="AI498" i="5"/>
  <c r="AI105" i="5"/>
  <c r="AH105" i="5"/>
  <c r="AI241" i="5"/>
  <c r="AH241" i="5"/>
  <c r="AI131" i="5"/>
  <c r="AH131" i="5"/>
  <c r="AI42" i="5"/>
  <c r="AH42" i="5"/>
  <c r="AI412" i="5"/>
  <c r="AH412" i="5"/>
  <c r="AI303" i="5"/>
  <c r="AH303" i="5"/>
  <c r="AI453" i="5"/>
  <c r="AH453" i="5"/>
  <c r="AI365" i="5"/>
  <c r="AH365" i="5"/>
  <c r="AH336" i="5"/>
  <c r="AI336" i="5"/>
  <c r="AI437" i="5"/>
  <c r="AH437" i="5"/>
  <c r="AH224" i="5"/>
  <c r="AI224" i="5"/>
  <c r="AH187" i="5"/>
  <c r="AI187" i="5"/>
  <c r="AH361" i="5"/>
  <c r="AI361" i="5"/>
  <c r="AI290" i="5"/>
  <c r="AH290" i="5"/>
  <c r="AI467" i="5"/>
  <c r="AH467" i="5"/>
  <c r="AH504" i="5"/>
  <c r="AI504" i="5"/>
  <c r="AH521" i="5"/>
  <c r="AI521" i="5"/>
  <c r="AI344" i="5"/>
  <c r="AH344" i="5"/>
  <c r="AH407" i="5"/>
  <c r="AI407" i="5"/>
  <c r="AH506" i="5"/>
  <c r="AI506" i="5"/>
  <c r="AH331" i="5"/>
  <c r="AI331" i="5"/>
  <c r="AH81" i="5"/>
  <c r="AI81" i="5"/>
  <c r="AH510" i="5"/>
  <c r="AI510" i="5"/>
  <c r="AH364" i="5"/>
  <c r="AI364" i="5"/>
  <c r="AI269" i="5"/>
  <c r="AH269" i="5"/>
  <c r="AH143" i="5"/>
  <c r="AI143" i="5"/>
  <c r="AI355" i="5"/>
  <c r="AH355" i="5"/>
  <c r="AH66" i="5"/>
  <c r="AI66" i="5"/>
  <c r="AI378" i="5"/>
  <c r="AH378" i="5"/>
  <c r="AH321" i="5"/>
  <c r="AI321" i="5"/>
  <c r="AI483" i="5"/>
  <c r="AH483" i="5"/>
  <c r="AH274" i="5"/>
  <c r="AI274" i="5"/>
  <c r="AI213" i="5"/>
  <c r="AH213" i="5"/>
  <c r="AI298" i="5"/>
  <c r="AH298" i="5"/>
  <c r="AI192" i="5"/>
  <c r="AH192" i="5"/>
  <c r="AH164" i="5"/>
  <c r="AI164" i="5"/>
  <c r="AI158" i="5"/>
  <c r="AH158" i="5"/>
  <c r="AH367" i="5"/>
  <c r="AI367" i="5"/>
  <c r="AI393" i="5"/>
  <c r="AH393" i="5"/>
  <c r="AE101" i="4"/>
  <c r="AH101" i="4"/>
  <c r="AH7" i="4"/>
  <c r="AE7" i="4"/>
  <c r="Z7" i="4"/>
  <c r="X7" i="4" s="1"/>
  <c r="AJ7" i="4" s="1"/>
  <c r="AO9" i="5"/>
  <c r="AN9" i="5"/>
  <c r="AA9" i="5"/>
  <c r="AB9" i="5"/>
  <c r="U9" i="5"/>
  <c r="V9" i="5"/>
  <c r="AO78" i="5"/>
  <c r="AN78" i="5"/>
  <c r="AO551" i="5"/>
  <c r="AN551" i="5"/>
  <c r="AN251" i="5"/>
  <c r="AO251" i="5"/>
  <c r="AN104" i="5"/>
  <c r="AO104" i="5"/>
  <c r="AN355" i="5"/>
  <c r="AO355" i="5"/>
  <c r="AO162" i="5"/>
  <c r="AN162" i="5"/>
  <c r="AO200" i="5"/>
  <c r="AN200" i="5"/>
  <c r="AN30" i="5"/>
  <c r="AO30" i="5"/>
  <c r="AO62" i="5"/>
  <c r="AN62" i="5"/>
  <c r="AO41" i="5"/>
  <c r="AN41" i="5"/>
  <c r="AO452" i="5"/>
  <c r="AN452" i="5"/>
  <c r="AO265" i="5"/>
  <c r="AN265" i="5"/>
  <c r="AN143" i="5"/>
  <c r="AO143" i="5"/>
  <c r="AO72" i="5"/>
  <c r="AN72" i="5"/>
  <c r="AO164" i="5"/>
  <c r="AN164" i="5"/>
  <c r="AO152" i="5"/>
  <c r="AN152" i="5"/>
  <c r="AO312" i="5"/>
  <c r="AN312" i="5"/>
  <c r="AO448" i="5"/>
  <c r="AN448" i="5"/>
  <c r="AN479" i="5"/>
  <c r="AO479" i="5"/>
  <c r="AN276" i="5"/>
  <c r="AO276" i="5"/>
  <c r="AN425" i="5"/>
  <c r="AO425" i="5"/>
  <c r="AO313" i="5"/>
  <c r="AN313" i="5"/>
  <c r="AO195" i="5"/>
  <c r="AN195" i="5"/>
  <c r="AO69" i="5"/>
  <c r="AN69" i="5"/>
  <c r="AN281" i="5"/>
  <c r="AO281" i="5"/>
  <c r="AO326" i="5"/>
  <c r="AN326" i="5"/>
  <c r="AN301" i="5"/>
  <c r="AO301" i="5"/>
  <c r="AO98" i="5"/>
  <c r="AN98" i="5"/>
  <c r="AN311" i="5"/>
  <c r="AO311" i="5"/>
  <c r="AN547" i="5"/>
  <c r="AO547" i="5"/>
  <c r="AO402" i="5"/>
  <c r="AN402" i="5"/>
  <c r="AN334" i="5"/>
  <c r="AO334" i="5"/>
  <c r="AN318" i="5"/>
  <c r="AO318" i="5"/>
  <c r="AO290" i="5"/>
  <c r="AN290" i="5"/>
  <c r="AN552" i="5"/>
  <c r="AO552" i="5"/>
  <c r="AO249" i="5"/>
  <c r="AN249" i="5"/>
  <c r="AO530" i="5"/>
  <c r="AN530" i="5"/>
  <c r="AO362" i="5"/>
  <c r="AN362" i="5"/>
  <c r="AN439" i="5"/>
  <c r="AO439" i="5"/>
  <c r="AO36" i="5"/>
  <c r="AN36" i="5"/>
  <c r="AN169" i="5"/>
  <c r="AO169" i="5"/>
  <c r="AN145" i="5"/>
  <c r="AO145" i="5"/>
  <c r="AN556" i="5"/>
  <c r="AO556" i="5"/>
  <c r="AN264" i="5"/>
  <c r="AO264" i="5"/>
  <c r="AO297" i="5"/>
  <c r="AN297" i="5"/>
  <c r="AO85" i="5"/>
  <c r="AN85" i="5"/>
  <c r="AO456" i="5"/>
  <c r="AN456" i="5"/>
  <c r="AO434" i="5"/>
  <c r="AN434" i="5"/>
  <c r="AO342" i="5"/>
  <c r="AN342" i="5"/>
  <c r="AO437" i="5"/>
  <c r="AN437" i="5"/>
  <c r="AO110" i="5"/>
  <c r="AN110" i="5"/>
  <c r="AO369" i="5"/>
  <c r="AN369" i="5"/>
  <c r="AO299" i="5"/>
  <c r="AN299" i="5"/>
  <c r="AO228" i="5"/>
  <c r="AN228" i="5"/>
  <c r="AO324" i="5"/>
  <c r="AN324" i="5"/>
  <c r="AN32" i="5"/>
  <c r="AO32" i="5"/>
  <c r="AO155" i="5"/>
  <c r="AN155" i="5"/>
  <c r="AN116" i="5"/>
  <c r="AO116" i="5"/>
  <c r="AN125" i="5"/>
  <c r="AO125" i="5"/>
  <c r="AO56" i="5"/>
  <c r="AN56" i="5"/>
  <c r="AN146" i="5"/>
  <c r="AO146" i="5"/>
  <c r="AN136" i="5"/>
  <c r="AO136" i="5"/>
  <c r="AN179" i="5"/>
  <c r="AO179" i="5"/>
  <c r="AO340" i="5"/>
  <c r="AN340" i="5"/>
  <c r="AN66" i="5"/>
  <c r="AO66" i="5"/>
  <c r="AN455" i="5"/>
  <c r="AO455" i="5"/>
  <c r="AN283" i="5"/>
  <c r="AO283" i="5"/>
  <c r="AO320" i="5"/>
  <c r="AN320" i="5"/>
  <c r="AN343" i="5"/>
  <c r="AO343" i="5"/>
  <c r="AN335" i="5"/>
  <c r="AO335" i="5"/>
  <c r="AN90" i="5"/>
  <c r="AO90" i="5"/>
  <c r="AO510" i="5"/>
  <c r="AN510" i="5"/>
  <c r="AO158" i="5"/>
  <c r="AN158" i="5"/>
  <c r="AN352" i="5"/>
  <c r="AO352" i="5"/>
  <c r="AN554" i="5"/>
  <c r="AO554" i="5"/>
  <c r="AN338" i="5"/>
  <c r="AO338" i="5"/>
  <c r="AO475" i="5"/>
  <c r="AN475" i="5"/>
  <c r="AO247" i="5"/>
  <c r="AN247" i="5"/>
  <c r="AO505" i="5"/>
  <c r="AN505" i="5"/>
  <c r="AO203" i="5"/>
  <c r="AN203" i="5"/>
  <c r="AN460" i="5"/>
  <c r="AO460" i="5"/>
  <c r="AO384" i="5"/>
  <c r="AN384" i="5"/>
  <c r="AN468" i="5"/>
  <c r="AO468" i="5"/>
  <c r="AO492" i="5"/>
  <c r="AN492" i="5"/>
  <c r="AN470" i="5"/>
  <c r="AO470" i="5"/>
  <c r="AN300" i="5"/>
  <c r="AO300" i="5"/>
  <c r="AN532" i="5"/>
  <c r="AO532" i="5"/>
  <c r="AN498" i="5"/>
  <c r="AO498" i="5"/>
  <c r="AN527" i="5"/>
  <c r="AO527" i="5"/>
  <c r="AN360" i="5"/>
  <c r="AO360" i="5"/>
  <c r="AO185" i="5"/>
  <c r="AN185" i="5"/>
  <c r="AO180" i="5"/>
  <c r="AN180" i="5"/>
  <c r="AO422" i="5"/>
  <c r="AN422" i="5"/>
  <c r="AN103" i="5"/>
  <c r="AO103" i="5"/>
  <c r="AO331" i="5"/>
  <c r="AN331" i="5"/>
  <c r="AO93" i="5"/>
  <c r="AN93" i="5"/>
  <c r="AN199" i="5"/>
  <c r="AO199" i="5"/>
  <c r="AN407" i="5"/>
  <c r="AO407" i="5"/>
  <c r="AO435" i="5"/>
  <c r="AN435" i="5"/>
  <c r="AN24" i="5"/>
  <c r="AO24" i="5"/>
  <c r="AN520" i="5"/>
  <c r="AO520" i="5"/>
  <c r="AN218" i="5"/>
  <c r="AO218" i="5"/>
  <c r="AN323" i="5"/>
  <c r="AO323" i="5"/>
  <c r="AN388" i="5"/>
  <c r="AO388" i="5"/>
  <c r="AO392" i="5"/>
  <c r="AN392" i="5"/>
  <c r="AN168" i="5"/>
  <c r="AO168" i="5"/>
  <c r="AO549" i="5"/>
  <c r="AN549" i="5"/>
  <c r="AO466" i="5"/>
  <c r="AN466" i="5"/>
  <c r="AO205" i="5"/>
  <c r="AN205" i="5"/>
  <c r="AO501" i="5"/>
  <c r="AN501" i="5"/>
  <c r="AN70" i="5"/>
  <c r="AO70" i="5"/>
  <c r="AO126" i="5"/>
  <c r="AN126" i="5"/>
  <c r="AN296" i="5"/>
  <c r="AO296" i="5"/>
  <c r="AN381" i="5"/>
  <c r="AO381" i="5"/>
  <c r="AO315" i="5"/>
  <c r="AN315" i="5"/>
  <c r="AO191" i="5"/>
  <c r="AN191" i="5"/>
  <c r="AN96" i="5"/>
  <c r="AO96" i="5"/>
  <c r="AO147" i="5"/>
  <c r="AN147" i="5"/>
  <c r="AN204" i="5"/>
  <c r="AO204" i="5"/>
  <c r="AN142" i="5"/>
  <c r="AO142" i="5"/>
  <c r="AN269" i="5"/>
  <c r="AO269" i="5"/>
  <c r="AO487" i="5"/>
  <c r="AN487" i="5"/>
  <c r="AN350" i="5"/>
  <c r="AO350" i="5"/>
  <c r="AO405" i="5"/>
  <c r="AN405" i="5"/>
  <c r="AN278" i="5"/>
  <c r="AO278" i="5"/>
  <c r="AO51" i="5"/>
  <c r="AN51" i="5"/>
  <c r="AO364" i="5"/>
  <c r="AN364" i="5"/>
  <c r="AN307" i="5"/>
  <c r="AO307" i="5"/>
  <c r="AN321" i="5"/>
  <c r="AO321" i="5"/>
  <c r="AO298" i="5"/>
  <c r="AN298" i="5"/>
  <c r="AO221" i="5"/>
  <c r="AN221" i="5"/>
  <c r="AO212" i="5"/>
  <c r="AN212" i="5"/>
  <c r="AN40" i="5"/>
  <c r="AO40" i="5"/>
  <c r="AO235" i="5"/>
  <c r="AN235" i="5"/>
  <c r="AN280" i="5"/>
  <c r="AO280" i="5"/>
  <c r="AN232" i="5"/>
  <c r="AO232" i="5"/>
  <c r="AH218" i="5"/>
  <c r="AI218" i="5"/>
  <c r="AI343" i="5"/>
  <c r="AH343" i="5"/>
  <c r="AI299" i="5"/>
  <c r="AH299" i="5"/>
  <c r="AH398" i="5"/>
  <c r="AI398" i="5"/>
  <c r="AI423" i="5"/>
  <c r="AH423" i="5"/>
  <c r="AI480" i="5"/>
  <c r="AH480" i="5"/>
  <c r="AI288" i="5"/>
  <c r="AH288" i="5"/>
  <c r="AI326" i="5"/>
  <c r="AH326" i="5"/>
  <c r="AH376" i="5"/>
  <c r="AI376" i="5"/>
  <c r="AI551" i="5"/>
  <c r="AH551" i="5"/>
  <c r="AI454" i="5"/>
  <c r="AH454" i="5"/>
  <c r="AI479" i="5"/>
  <c r="AH479" i="5"/>
  <c r="AH83" i="5"/>
  <c r="AI83" i="5"/>
  <c r="AH210" i="5"/>
  <c r="AI210" i="5"/>
  <c r="AI297" i="5"/>
  <c r="AH297" i="5"/>
  <c r="AI217" i="5"/>
  <c r="AH217" i="5"/>
  <c r="AH38" i="5"/>
  <c r="AI38" i="5"/>
  <c r="AI127" i="5"/>
  <c r="AH127" i="5"/>
  <c r="AI522" i="5"/>
  <c r="AH522" i="5"/>
  <c r="AI234" i="5"/>
  <c r="AH234" i="5"/>
  <c r="AI488" i="5"/>
  <c r="AH488" i="5"/>
  <c r="AI323" i="5"/>
  <c r="AH323" i="5"/>
  <c r="AH118" i="5"/>
  <c r="AI118" i="5"/>
  <c r="AH153" i="5"/>
  <c r="AI153" i="5"/>
  <c r="AI539" i="5"/>
  <c r="AH539" i="5"/>
  <c r="AI200" i="5"/>
  <c r="AH200" i="5"/>
  <c r="AI167" i="5"/>
  <c r="AH167" i="5"/>
  <c r="AI222" i="5"/>
  <c r="AH222" i="5"/>
  <c r="AI333" i="5"/>
  <c r="AH333" i="5"/>
  <c r="AI156" i="5"/>
  <c r="AH156" i="5"/>
  <c r="AH231" i="5"/>
  <c r="AI231" i="5"/>
  <c r="AH473" i="5"/>
  <c r="AI473" i="5"/>
  <c r="AI443" i="5"/>
  <c r="AH443" i="5"/>
  <c r="AI313" i="5"/>
  <c r="AH313" i="5"/>
  <c r="AH312" i="5"/>
  <c r="AI312" i="5"/>
  <c r="AI151" i="5"/>
  <c r="AH151" i="5"/>
  <c r="AH419" i="5"/>
  <c r="AI419" i="5"/>
  <c r="AH175" i="5"/>
  <c r="AI175" i="5"/>
  <c r="AH209" i="5"/>
  <c r="AI209" i="5"/>
  <c r="AH141" i="5"/>
  <c r="AI141" i="5"/>
  <c r="AI486" i="5"/>
  <c r="AH486" i="5"/>
  <c r="AH128" i="5"/>
  <c r="AI128" i="5"/>
  <c r="AH557" i="5"/>
  <c r="AI557" i="5"/>
  <c r="AI359" i="5"/>
  <c r="AH359" i="5"/>
  <c r="AH520" i="5"/>
  <c r="AI520" i="5"/>
  <c r="AI240" i="5"/>
  <c r="AH240" i="5"/>
  <c r="AI435" i="5"/>
  <c r="AH435" i="5"/>
  <c r="AI490" i="5"/>
  <c r="AH490" i="5"/>
  <c r="AH469" i="5"/>
  <c r="AI469" i="5"/>
  <c r="AI432" i="5"/>
  <c r="AH432" i="5"/>
  <c r="AI92" i="5"/>
  <c r="AH92" i="5"/>
  <c r="AH67" i="5"/>
  <c r="AI67" i="5"/>
  <c r="AH58" i="5"/>
  <c r="AI58" i="5"/>
  <c r="AH257" i="5"/>
  <c r="AI257" i="5"/>
  <c r="AI62" i="5"/>
  <c r="AH62" i="5"/>
  <c r="AI272" i="5"/>
  <c r="AH272" i="5"/>
  <c r="AI456" i="5"/>
  <c r="AH456" i="5"/>
  <c r="AI307" i="5"/>
  <c r="AH307" i="5"/>
  <c r="AH26" i="5"/>
  <c r="AI26" i="5"/>
  <c r="AI339" i="5"/>
  <c r="AH339" i="5"/>
  <c r="AI397" i="5"/>
  <c r="AH397" i="5"/>
  <c r="AI119" i="5"/>
  <c r="AH119" i="5"/>
  <c r="AI380" i="5"/>
  <c r="AH380" i="5"/>
  <c r="AI293" i="5"/>
  <c r="AH293" i="5"/>
  <c r="AH287" i="5"/>
  <c r="AI287" i="5"/>
  <c r="AI289" i="5"/>
  <c r="AH289" i="5"/>
  <c r="AH64" i="5"/>
  <c r="AI64" i="5"/>
  <c r="AH554" i="5"/>
  <c r="AI554" i="5"/>
  <c r="AH470" i="5"/>
  <c r="AI470" i="5"/>
  <c r="AH206" i="5"/>
  <c r="AI206" i="5"/>
  <c r="AI132" i="5"/>
  <c r="AH132" i="5"/>
  <c r="AI196" i="5"/>
  <c r="AH196" i="5"/>
  <c r="AH114" i="5"/>
  <c r="AI114" i="5"/>
  <c r="AH203" i="5"/>
  <c r="AI203" i="5"/>
  <c r="AI426" i="5"/>
  <c r="AH426" i="5"/>
  <c r="AH228" i="5"/>
  <c r="AI228" i="5"/>
  <c r="AI370" i="5"/>
  <c r="AH370" i="5"/>
  <c r="AH53" i="5"/>
  <c r="AI53" i="5"/>
  <c r="AI507" i="5"/>
  <c r="AH507" i="5"/>
  <c r="AI438" i="5"/>
  <c r="AH438" i="5"/>
  <c r="AI440" i="5"/>
  <c r="AH440" i="5"/>
  <c r="AI535" i="5"/>
  <c r="AH535" i="5"/>
  <c r="AI147" i="5"/>
  <c r="AH147" i="5"/>
  <c r="AI310" i="5"/>
  <c r="AH310" i="5"/>
  <c r="AH20" i="5"/>
  <c r="AI20" i="5"/>
  <c r="AH138" i="5"/>
  <c r="AI138" i="5"/>
  <c r="AH379" i="5"/>
  <c r="AI379" i="5"/>
  <c r="AI404" i="5"/>
  <c r="AH404" i="5"/>
  <c r="AH350" i="5"/>
  <c r="AI350" i="5"/>
  <c r="AH140" i="5"/>
  <c r="AI140" i="5"/>
  <c r="AI160" i="5"/>
  <c r="AH160" i="5"/>
  <c r="AH388" i="5"/>
  <c r="AI388" i="5"/>
  <c r="AH315" i="5"/>
  <c r="AI315" i="5"/>
  <c r="AH517" i="5"/>
  <c r="AI517" i="5"/>
  <c r="AI39" i="5"/>
  <c r="AH39" i="5"/>
  <c r="AH512" i="5"/>
  <c r="AI512" i="5"/>
  <c r="AH442" i="5"/>
  <c r="AI442" i="5"/>
  <c r="AI27" i="5"/>
  <c r="AH27" i="5"/>
  <c r="AH371" i="5"/>
  <c r="AI371" i="5"/>
  <c r="AI444" i="5"/>
  <c r="AH444" i="5"/>
  <c r="AH341" i="5"/>
  <c r="AI341" i="5"/>
  <c r="AH85" i="5"/>
  <c r="AI85" i="5"/>
  <c r="AI402" i="5"/>
  <c r="AH402" i="5"/>
  <c r="AI215" i="5"/>
  <c r="AH215" i="5"/>
  <c r="AI515" i="5"/>
  <c r="AH515" i="5"/>
  <c r="AI526" i="5"/>
  <c r="AH526" i="5"/>
  <c r="AH534" i="5"/>
  <c r="AI534" i="5"/>
  <c r="AH40" i="5"/>
  <c r="AI40" i="5"/>
  <c r="AI173" i="5"/>
  <c r="AH173" i="5"/>
  <c r="AH52" i="5"/>
  <c r="AI52" i="5"/>
  <c r="AI226" i="5"/>
  <c r="AH226" i="5"/>
  <c r="AH267" i="5"/>
  <c r="AI267" i="5"/>
  <c r="AI420" i="5"/>
  <c r="AH420" i="5"/>
  <c r="AH502" i="5"/>
  <c r="AI502" i="5"/>
  <c r="AI163" i="5"/>
  <c r="AH163" i="5"/>
  <c r="AI54" i="5"/>
  <c r="AH54" i="5"/>
  <c r="AI415" i="5"/>
  <c r="AH415" i="5"/>
  <c r="AH261" i="5"/>
  <c r="AI261" i="5"/>
  <c r="AI458" i="5"/>
  <c r="AH458" i="5"/>
  <c r="AI459" i="5"/>
  <c r="AH459" i="5"/>
  <c r="AH199" i="5"/>
  <c r="AI199" i="5"/>
  <c r="AH496" i="5"/>
  <c r="AI496" i="5"/>
  <c r="AH451" i="5"/>
  <c r="AI451" i="5"/>
  <c r="AI468" i="5"/>
  <c r="AH468" i="5"/>
  <c r="AH35" i="5"/>
  <c r="AI35" i="5"/>
  <c r="AH195" i="5"/>
  <c r="AI195" i="5"/>
  <c r="AI116" i="5"/>
  <c r="AH116" i="5"/>
  <c r="AI416" i="5"/>
  <c r="AH416" i="5"/>
  <c r="AH236" i="5"/>
  <c r="AI236" i="5"/>
  <c r="AH448" i="5"/>
  <c r="AI448" i="5"/>
  <c r="AI186" i="5"/>
  <c r="AH186" i="5"/>
  <c r="AI112" i="5"/>
  <c r="AH112" i="5"/>
  <c r="AI411" i="5"/>
  <c r="AH411" i="5"/>
  <c r="AH134" i="5"/>
  <c r="AI134" i="5"/>
  <c r="AI247" i="5"/>
  <c r="AH247" i="5"/>
  <c r="AI220" i="5"/>
  <c r="AH220" i="5"/>
  <c r="AI96" i="5"/>
  <c r="AH96" i="5"/>
  <c r="AH21" i="4"/>
  <c r="AE21" i="4"/>
  <c r="Z21" i="4"/>
  <c r="X21" i="4" s="1"/>
  <c r="AJ21" i="4" s="1"/>
  <c r="AH19" i="4"/>
  <c r="AE19" i="4"/>
  <c r="Z19" i="4"/>
  <c r="X19" i="4" s="1"/>
  <c r="AJ19" i="4" s="1"/>
  <c r="AH111" i="4"/>
  <c r="AE111" i="4"/>
  <c r="AH13" i="4"/>
  <c r="Z13" i="4"/>
  <c r="X13" i="4" s="1"/>
  <c r="AJ13" i="4" s="1"/>
  <c r="AE13" i="4"/>
  <c r="AH92" i="4"/>
  <c r="AE92" i="4"/>
  <c r="AH133" i="4"/>
  <c r="AE133" i="4"/>
  <c r="AH38" i="4"/>
  <c r="AE38" i="4"/>
  <c r="Z38" i="4"/>
  <c r="AA38" i="4"/>
  <c r="AE127" i="4"/>
  <c r="AH127" i="4"/>
  <c r="AE18" i="4"/>
  <c r="AH18" i="4"/>
  <c r="Z18" i="4"/>
  <c r="X18" i="4" s="1"/>
  <c r="AJ18" i="4" s="1"/>
  <c r="AE156" i="4"/>
  <c r="AJ156" i="4"/>
  <c r="AH156" i="4"/>
  <c r="AH77" i="4"/>
  <c r="AE77" i="4"/>
  <c r="AH40" i="4"/>
  <c r="AE40" i="4"/>
  <c r="Z40" i="4"/>
  <c r="AA40" i="4"/>
  <c r="AE22" i="4"/>
  <c r="AH22" i="4"/>
  <c r="Z22" i="4"/>
  <c r="X22" i="4" s="1"/>
  <c r="AJ22" i="4" s="1"/>
  <c r="AH125" i="4"/>
  <c r="AE125" i="4"/>
  <c r="AA125" i="4"/>
  <c r="AE115" i="4"/>
  <c r="AH115" i="4"/>
  <c r="AA115" i="4"/>
  <c r="Z115" i="4"/>
  <c r="AJ134" i="4"/>
  <c r="AH134" i="4"/>
  <c r="AE134" i="4"/>
  <c r="AE11" i="4"/>
  <c r="AH11" i="4"/>
  <c r="Z11" i="4"/>
  <c r="X11" i="4" s="1"/>
  <c r="AJ11" i="4" s="1"/>
  <c r="AH154" i="4"/>
  <c r="AE154" i="4"/>
  <c r="AH143" i="4"/>
  <c r="AE143" i="4"/>
  <c r="AA52" i="4"/>
  <c r="AJ52" i="4"/>
  <c r="AE52" i="4"/>
  <c r="AH52" i="4"/>
  <c r="Z52" i="4"/>
  <c r="AH17" i="4"/>
  <c r="Z17" i="4"/>
  <c r="X17" i="4" s="1"/>
  <c r="AA17" i="4" s="1"/>
  <c r="AE17" i="4"/>
  <c r="AH132" i="4"/>
  <c r="Z132" i="4"/>
  <c r="AE132" i="4"/>
  <c r="AA132" i="4"/>
  <c r="AH86" i="4"/>
  <c r="AE86" i="4"/>
  <c r="AH90" i="4"/>
  <c r="AE90" i="4"/>
  <c r="AH45" i="4"/>
  <c r="Z45" i="4"/>
  <c r="AA45" i="4"/>
  <c r="AE45" i="4"/>
  <c r="AH107" i="4"/>
  <c r="AA107" i="4"/>
  <c r="Z107" i="4"/>
  <c r="AE107" i="4"/>
  <c r="AR133" i="5"/>
  <c r="AQ133" i="5"/>
  <c r="BI133" i="5"/>
  <c r="AQ32" i="5"/>
  <c r="BI32" i="5"/>
  <c r="AR32" i="5"/>
  <c r="AR62" i="5"/>
  <c r="AQ265" i="5"/>
  <c r="AR265" i="5"/>
  <c r="BI265" i="5"/>
  <c r="AR93" i="5"/>
  <c r="AQ93" i="5"/>
  <c r="BI93" i="5"/>
  <c r="AQ488" i="5"/>
  <c r="AQ550" i="5"/>
  <c r="BI550" i="5"/>
  <c r="AR550" i="5"/>
  <c r="BI118" i="5"/>
  <c r="AR357" i="5"/>
  <c r="AQ357" i="5"/>
  <c r="BI357" i="5"/>
  <c r="AQ532" i="5"/>
  <c r="AR532" i="5"/>
  <c r="BI532" i="5"/>
  <c r="AQ256" i="5"/>
  <c r="BI256" i="5"/>
  <c r="AR256" i="5"/>
  <c r="AP127" i="5"/>
  <c r="AR172" i="5"/>
  <c r="AQ172" i="5"/>
  <c r="BI172" i="5"/>
  <c r="AP500" i="5"/>
  <c r="AQ139" i="5"/>
  <c r="AR139" i="5"/>
  <c r="BI139" i="5"/>
  <c r="BI460" i="5"/>
  <c r="AR460" i="5"/>
  <c r="AQ460" i="5"/>
  <c r="AR43" i="5"/>
  <c r="BI43" i="5"/>
  <c r="AQ43" i="5"/>
  <c r="AQ29" i="5"/>
  <c r="BI250" i="5"/>
  <c r="AR250" i="5"/>
  <c r="AQ250" i="5"/>
  <c r="AR136" i="5"/>
  <c r="AQ136" i="5"/>
  <c r="BI136" i="5"/>
  <c r="AQ277" i="5"/>
  <c r="BI277" i="5"/>
  <c r="AR277" i="5"/>
  <c r="AP524" i="5"/>
  <c r="BI342" i="5"/>
  <c r="AR342" i="5"/>
  <c r="AQ342" i="5"/>
  <c r="AJ61" i="4"/>
  <c r="AH61" i="4"/>
  <c r="AE61" i="4"/>
  <c r="AJ141" i="4"/>
  <c r="AE141" i="4"/>
  <c r="AH141" i="4"/>
  <c r="AE33" i="4"/>
  <c r="Z33" i="4"/>
  <c r="AH33" i="4"/>
  <c r="AH44" i="4"/>
  <c r="AE44" i="4"/>
  <c r="AA44" i="4"/>
  <c r="Z44" i="4"/>
  <c r="AE30" i="4"/>
  <c r="Z30" i="4"/>
  <c r="X30" i="4" s="1"/>
  <c r="AJ30" i="4" s="1"/>
  <c r="AH30" i="4"/>
  <c r="AH15" i="4"/>
  <c r="AE15" i="4"/>
  <c r="Z15" i="4"/>
  <c r="X15" i="4" s="1"/>
  <c r="AJ15" i="4" s="1"/>
  <c r="AH8" i="4"/>
  <c r="Z8" i="4"/>
  <c r="X8" i="4" s="1"/>
  <c r="AJ8" i="4" s="1"/>
  <c r="AE8" i="4"/>
  <c r="AA147" i="4"/>
  <c r="AE147" i="4"/>
  <c r="Z147" i="4"/>
  <c r="AH147" i="4"/>
  <c r="AH137" i="4"/>
  <c r="AE137" i="4"/>
  <c r="AE28" i="4"/>
  <c r="Z28" i="4"/>
  <c r="X28" i="4" s="1"/>
  <c r="AJ28" i="4" s="1"/>
  <c r="AH28" i="4"/>
  <c r="AE151" i="4"/>
  <c r="Z151" i="4"/>
  <c r="AH151" i="4"/>
  <c r="AU9" i="5"/>
  <c r="AV9" i="5"/>
  <c r="BC9" i="5"/>
  <c r="BB9" i="5"/>
  <c r="BA9" i="5"/>
  <c r="X9" i="5"/>
  <c r="Y9" i="5"/>
  <c r="AN397" i="5"/>
  <c r="AO397" i="5"/>
  <c r="AN237" i="5"/>
  <c r="AO237" i="5"/>
  <c r="AO37" i="5"/>
  <c r="AN37" i="5"/>
  <c r="AN558" i="5"/>
  <c r="AO558" i="5"/>
  <c r="AN166" i="5"/>
  <c r="AO166" i="5"/>
  <c r="AN404" i="5"/>
  <c r="AO404" i="5"/>
  <c r="AN187" i="5"/>
  <c r="AO187" i="5"/>
  <c r="AN216" i="5"/>
  <c r="AO216" i="5"/>
  <c r="AO420" i="5"/>
  <c r="AN420" i="5"/>
  <c r="AN427" i="5"/>
  <c r="AO427" i="5"/>
  <c r="AO447" i="5"/>
  <c r="AN447" i="5"/>
  <c r="AO286" i="5"/>
  <c r="AN286" i="5"/>
  <c r="AN473" i="5"/>
  <c r="AO473" i="5"/>
  <c r="AO503" i="5"/>
  <c r="AN503" i="5"/>
  <c r="AN202" i="5"/>
  <c r="AO202" i="5"/>
  <c r="AN215" i="5"/>
  <c r="AO215" i="5"/>
  <c r="AN177" i="5"/>
  <c r="AO177" i="5"/>
  <c r="AN328" i="5"/>
  <c r="AO328" i="5"/>
  <c r="AN306" i="5"/>
  <c r="AO306" i="5"/>
  <c r="AN421" i="5"/>
  <c r="AO421" i="5"/>
  <c r="AO109" i="5"/>
  <c r="AN109" i="5"/>
  <c r="AN545" i="5"/>
  <c r="AO545" i="5"/>
  <c r="AN344" i="5"/>
  <c r="AO344" i="5"/>
  <c r="AN491" i="5"/>
  <c r="AO491" i="5"/>
  <c r="AO512" i="5"/>
  <c r="AN512" i="5"/>
  <c r="AO544" i="5"/>
  <c r="AN544" i="5"/>
  <c r="AO134" i="5"/>
  <c r="AN134" i="5"/>
  <c r="AN433" i="5"/>
  <c r="AO433" i="5"/>
  <c r="AN22" i="5"/>
  <c r="AO22" i="5"/>
  <c r="AN181" i="5"/>
  <c r="AO181" i="5"/>
  <c r="AO555" i="5"/>
  <c r="AN555" i="5"/>
  <c r="AO262" i="5"/>
  <c r="AN262" i="5"/>
  <c r="AN410" i="5"/>
  <c r="AO410" i="5"/>
  <c r="AN502" i="5"/>
  <c r="AO502" i="5"/>
  <c r="AN233" i="5"/>
  <c r="AO233" i="5"/>
  <c r="AN319" i="5"/>
  <c r="AO319" i="5"/>
  <c r="AN457" i="5"/>
  <c r="AO457" i="5"/>
  <c r="AN304" i="5"/>
  <c r="AO304" i="5"/>
  <c r="AO46" i="5"/>
  <c r="AN46" i="5"/>
  <c r="AN400" i="5"/>
  <c r="AO400" i="5"/>
  <c r="AN398" i="5"/>
  <c r="AO398" i="5"/>
  <c r="AO440" i="5"/>
  <c r="AN440" i="5"/>
  <c r="AO198" i="5"/>
  <c r="AN198" i="5"/>
  <c r="AN34" i="5"/>
  <c r="AO34" i="5"/>
  <c r="AO64" i="5"/>
  <c r="AN64" i="5"/>
  <c r="AN50" i="5"/>
  <c r="AO50" i="5"/>
  <c r="AN431" i="5"/>
  <c r="AO431" i="5"/>
  <c r="AO542" i="5"/>
  <c r="AN542" i="5"/>
  <c r="AO206" i="5"/>
  <c r="AN206" i="5"/>
  <c r="AO370" i="5"/>
  <c r="AN370" i="5"/>
  <c r="AO499" i="5"/>
  <c r="AN499" i="5"/>
  <c r="AN10" i="5"/>
  <c r="AO10" i="5"/>
  <c r="AO481" i="5"/>
  <c r="AN481" i="5"/>
  <c r="AO239" i="5"/>
  <c r="AN239" i="5"/>
  <c r="AO263" i="5"/>
  <c r="AN263" i="5"/>
  <c r="AO258" i="5"/>
  <c r="AN258" i="5"/>
  <c r="AO55" i="5"/>
  <c r="AN55" i="5"/>
  <c r="AN255" i="5"/>
  <c r="AO255" i="5"/>
  <c r="AN112" i="5"/>
  <c r="AO112" i="5"/>
  <c r="AO332" i="5"/>
  <c r="AN332" i="5"/>
  <c r="AN543" i="5"/>
  <c r="AO543" i="5"/>
  <c r="AN53" i="5"/>
  <c r="AO53" i="5"/>
  <c r="AN88" i="5"/>
  <c r="AO88" i="5"/>
  <c r="AN513" i="5"/>
  <c r="AO513" i="5"/>
  <c r="AN396" i="5"/>
  <c r="AO396" i="5"/>
  <c r="AN217" i="5"/>
  <c r="AO217" i="5"/>
  <c r="AN519" i="5"/>
  <c r="AO519" i="5"/>
  <c r="AO464" i="5"/>
  <c r="AN464" i="5"/>
  <c r="AN357" i="5"/>
  <c r="AO357" i="5"/>
  <c r="AO94" i="5"/>
  <c r="AN94" i="5"/>
  <c r="AN102" i="5"/>
  <c r="AO102" i="5"/>
  <c r="AN19" i="5"/>
  <c r="AO19" i="5"/>
  <c r="AO97" i="5"/>
  <c r="AN97" i="5"/>
  <c r="AO279" i="5"/>
  <c r="AN279" i="5"/>
  <c r="AN165" i="5"/>
  <c r="AO165" i="5"/>
  <c r="AN67" i="5"/>
  <c r="AO67" i="5"/>
  <c r="AO415" i="5"/>
  <c r="AN415" i="5"/>
  <c r="AO52" i="5"/>
  <c r="AN52" i="5"/>
  <c r="AN43" i="5"/>
  <c r="AO43" i="5"/>
  <c r="AN317" i="5"/>
  <c r="AO317" i="5"/>
  <c r="AO523" i="5"/>
  <c r="AN523" i="5"/>
  <c r="AO359" i="5"/>
  <c r="AN359" i="5"/>
  <c r="AO131" i="5"/>
  <c r="AN131" i="5"/>
  <c r="AO100" i="5"/>
  <c r="AN100" i="5"/>
  <c r="AN528" i="5"/>
  <c r="AO528" i="5"/>
  <c r="AN303" i="5"/>
  <c r="AO303" i="5"/>
  <c r="AN349" i="5"/>
  <c r="AO349" i="5"/>
  <c r="AO540" i="5"/>
  <c r="AN540" i="5"/>
  <c r="AO174" i="5"/>
  <c r="AN174" i="5"/>
  <c r="AO29" i="5"/>
  <c r="AN29" i="5"/>
  <c r="AN471" i="5"/>
  <c r="AO471" i="5"/>
  <c r="AN488" i="5"/>
  <c r="AO488" i="5"/>
  <c r="AN20" i="5"/>
  <c r="AO20" i="5"/>
  <c r="AN238" i="5"/>
  <c r="AO238" i="5"/>
  <c r="AN508" i="5"/>
  <c r="AO508" i="5"/>
  <c r="AN23" i="5"/>
  <c r="AO23" i="5"/>
  <c r="AN111" i="5"/>
  <c r="AO111" i="5"/>
  <c r="AN161" i="5"/>
  <c r="AO161" i="5"/>
  <c r="AO99" i="5"/>
  <c r="AN99" i="5"/>
  <c r="AN35" i="5"/>
  <c r="AO35" i="5"/>
  <c r="AO119" i="5"/>
  <c r="AN119" i="5"/>
  <c r="AO271" i="5"/>
  <c r="AN271" i="5"/>
  <c r="AN449" i="5"/>
  <c r="AO449" i="5"/>
  <c r="AO538" i="5"/>
  <c r="AN538" i="5"/>
  <c r="AN47" i="5"/>
  <c r="AO47" i="5"/>
  <c r="AO58" i="5"/>
  <c r="AN58" i="5"/>
  <c r="AN379" i="5"/>
  <c r="AO379" i="5"/>
  <c r="AN339" i="5"/>
  <c r="AO339" i="5"/>
  <c r="AN522" i="5"/>
  <c r="AO522" i="5"/>
  <c r="AN423" i="5"/>
  <c r="AO423" i="5"/>
  <c r="AN223" i="5"/>
  <c r="AO223" i="5"/>
  <c r="AO75" i="5"/>
  <c r="AN75" i="5"/>
  <c r="AN91" i="5"/>
  <c r="AO91" i="5"/>
  <c r="AN123" i="5"/>
  <c r="AO123" i="5"/>
  <c r="AO493" i="5"/>
  <c r="AN493" i="5"/>
  <c r="AO7" i="5"/>
  <c r="AN7" i="5"/>
  <c r="AO346" i="5"/>
  <c r="AN346" i="5"/>
  <c r="AN484" i="5"/>
  <c r="AO484" i="5"/>
  <c r="AO8" i="5"/>
  <c r="AN8" i="5"/>
  <c r="AO130" i="5"/>
  <c r="AN130" i="5"/>
  <c r="AO289" i="5"/>
  <c r="AN289" i="5"/>
  <c r="AO534" i="5"/>
  <c r="AN534" i="5"/>
  <c r="AO253" i="5"/>
  <c r="AN253" i="5"/>
  <c r="AN89" i="5"/>
  <c r="AO89" i="5"/>
  <c r="AO121" i="5"/>
  <c r="AN121" i="5"/>
  <c r="AN395" i="5"/>
  <c r="AO395" i="5"/>
  <c r="AN330" i="5"/>
  <c r="AO330" i="5"/>
  <c r="AN188" i="5"/>
  <c r="AO188" i="5"/>
  <c r="AO441" i="5"/>
  <c r="AN441" i="5"/>
  <c r="AO486" i="5"/>
  <c r="AN486" i="5"/>
  <c r="AN92" i="5"/>
  <c r="AO92" i="5"/>
  <c r="AO60" i="5"/>
  <c r="AN60" i="5"/>
  <c r="AO80" i="5"/>
  <c r="AN80" i="5"/>
  <c r="AN114" i="5"/>
  <c r="AO114" i="5"/>
  <c r="AO261" i="5"/>
  <c r="AN261" i="5"/>
  <c r="AN245" i="5"/>
  <c r="AO245" i="5"/>
  <c r="AN516" i="5"/>
  <c r="AO516" i="5"/>
  <c r="AH335" i="5"/>
  <c r="AI335" i="5"/>
  <c r="AH482" i="5"/>
  <c r="AI482" i="5"/>
  <c r="AH446" i="5"/>
  <c r="AI446" i="5"/>
  <c r="AH386" i="5"/>
  <c r="AI386" i="5"/>
  <c r="AI162" i="5"/>
  <c r="AH162" i="5"/>
  <c r="AH8" i="5"/>
  <c r="AI8" i="5"/>
  <c r="AI497" i="5"/>
  <c r="AH497" i="5"/>
  <c r="AI455" i="5"/>
  <c r="AH455" i="5"/>
  <c r="AH529" i="5"/>
  <c r="AI529" i="5"/>
  <c r="AI309" i="5"/>
  <c r="AH309" i="5"/>
  <c r="AI90" i="5"/>
  <c r="AH90" i="5"/>
  <c r="AH431" i="5"/>
  <c r="AI431" i="5"/>
  <c r="AH126" i="5"/>
  <c r="AI126" i="5"/>
  <c r="AH32" i="5"/>
  <c r="AI32" i="5"/>
  <c r="AH373" i="5"/>
  <c r="AI373" i="5"/>
  <c r="AH108" i="5"/>
  <c r="AI108" i="5"/>
  <c r="AI281" i="5"/>
  <c r="AH281" i="5"/>
  <c r="AI176" i="5"/>
  <c r="AH176" i="5"/>
  <c r="AI237" i="5"/>
  <c r="AH237" i="5"/>
  <c r="AI538" i="5"/>
  <c r="AH538" i="5"/>
  <c r="AH284" i="5"/>
  <c r="AI284" i="5"/>
  <c r="AH270" i="5"/>
  <c r="AI270" i="5"/>
  <c r="AH509" i="5"/>
  <c r="AI509" i="5"/>
  <c r="AH511" i="5"/>
  <c r="AI511" i="5"/>
  <c r="AH260" i="5"/>
  <c r="AI260" i="5"/>
  <c r="AH472" i="5"/>
  <c r="AI472" i="5"/>
  <c r="AH19" i="5"/>
  <c r="AI19" i="5"/>
  <c r="AI207" i="5"/>
  <c r="AH207" i="5"/>
  <c r="AI168" i="5"/>
  <c r="AH168" i="5"/>
  <c r="AI70" i="5"/>
  <c r="AH70" i="5"/>
  <c r="AI24" i="5"/>
  <c r="AH24" i="5"/>
  <c r="AI302" i="5"/>
  <c r="AH302" i="5"/>
  <c r="AH403" i="5"/>
  <c r="AI403" i="5"/>
  <c r="AH133" i="5"/>
  <c r="AI133" i="5"/>
  <c r="AH159" i="5"/>
  <c r="AI159" i="5"/>
  <c r="AH363" i="5"/>
  <c r="AI363" i="5"/>
  <c r="AH238" i="5"/>
  <c r="AI238" i="5"/>
  <c r="AI129" i="5"/>
  <c r="AH129" i="5"/>
  <c r="AI185" i="5"/>
  <c r="AH185" i="5"/>
  <c r="AI428" i="5"/>
  <c r="AH428" i="5"/>
  <c r="AI362" i="5"/>
  <c r="AH362" i="5"/>
  <c r="AH130" i="5"/>
  <c r="AI130" i="5"/>
  <c r="AH277" i="5"/>
  <c r="AI277" i="5"/>
  <c r="AH492" i="5"/>
  <c r="AI492" i="5"/>
  <c r="AH452" i="5"/>
  <c r="AI452" i="5"/>
  <c r="AH332" i="5"/>
  <c r="AI332" i="5"/>
  <c r="AH124" i="5"/>
  <c r="AI124" i="5"/>
  <c r="AH481" i="5"/>
  <c r="AI481" i="5"/>
  <c r="AH305" i="5"/>
  <c r="AI305" i="5"/>
  <c r="AI251" i="5"/>
  <c r="AH251" i="5"/>
  <c r="AI227" i="5"/>
  <c r="AH227" i="5"/>
  <c r="AH201" i="5"/>
  <c r="AI201" i="5"/>
  <c r="AH99" i="5"/>
  <c r="AI99" i="5"/>
  <c r="AH275" i="5"/>
  <c r="AI275" i="5"/>
  <c r="AI180" i="5"/>
  <c r="AH180" i="5"/>
  <c r="AH304" i="5"/>
  <c r="AI304" i="5"/>
  <c r="AH214" i="5"/>
  <c r="AI214" i="5"/>
  <c r="AH65" i="5"/>
  <c r="AI65" i="5"/>
  <c r="AH256" i="5"/>
  <c r="AI256" i="5"/>
  <c r="AI109" i="5"/>
  <c r="AH109" i="5"/>
  <c r="AI279" i="5"/>
  <c r="AH279" i="5"/>
  <c r="AH104" i="5"/>
  <c r="AI104" i="5"/>
  <c r="AH525" i="5"/>
  <c r="AI525" i="5"/>
  <c r="AH387" i="5"/>
  <c r="AI387" i="5"/>
  <c r="AI223" i="5"/>
  <c r="AH223" i="5"/>
  <c r="AI137" i="5"/>
  <c r="AH137" i="5"/>
  <c r="AI485" i="5"/>
  <c r="AH485" i="5"/>
  <c r="AH477" i="5"/>
  <c r="AI477" i="5"/>
  <c r="AH461" i="5"/>
  <c r="AI461" i="5"/>
  <c r="AH245" i="5"/>
  <c r="AI245" i="5"/>
  <c r="AI528" i="5"/>
  <c r="AH528" i="5"/>
  <c r="AH169" i="5"/>
  <c r="AI169" i="5"/>
  <c r="AI135" i="5"/>
  <c r="AH135" i="5"/>
  <c r="AI246" i="5"/>
  <c r="AH246" i="5"/>
  <c r="AI122" i="5"/>
  <c r="AH122" i="5"/>
  <c r="AI338" i="5"/>
  <c r="AH338" i="5"/>
  <c r="AI533" i="5"/>
  <c r="AH533" i="5"/>
  <c r="AI86" i="5"/>
  <c r="AH86" i="5"/>
  <c r="AI516" i="5"/>
  <c r="AH516" i="5"/>
  <c r="AI474" i="5"/>
  <c r="AH474" i="5"/>
  <c r="AI487" i="5"/>
  <c r="AH487" i="5"/>
  <c r="AI49" i="5"/>
  <c r="AH49" i="5"/>
  <c r="AI501" i="5"/>
  <c r="AH501" i="5"/>
  <c r="AI148" i="5"/>
  <c r="AH148" i="5"/>
  <c r="AH157" i="5"/>
  <c r="AI157" i="5"/>
  <c r="AH471" i="5"/>
  <c r="AI471" i="5"/>
  <c r="AI544" i="5"/>
  <c r="AH544" i="5"/>
  <c r="AH232" i="5"/>
  <c r="AI232" i="5"/>
  <c r="AH95" i="5"/>
  <c r="AI95" i="5"/>
  <c r="AI191" i="5"/>
  <c r="AH191" i="5"/>
  <c r="AH44" i="5"/>
  <c r="AI44" i="5"/>
  <c r="AH559" i="5"/>
  <c r="AI559" i="5"/>
  <c r="AH139" i="5"/>
  <c r="AI139" i="5"/>
  <c r="AI537" i="5"/>
  <c r="AH537" i="5"/>
  <c r="AI179" i="5"/>
  <c r="AH179" i="5"/>
  <c r="AH545" i="5"/>
  <c r="AI545" i="5"/>
  <c r="AH489" i="5"/>
  <c r="AI489" i="5"/>
  <c r="AH197" i="5"/>
  <c r="AI197" i="5"/>
  <c r="AH357" i="5"/>
  <c r="AI357" i="5"/>
  <c r="AH263" i="5"/>
  <c r="AI263" i="5"/>
  <c r="AH532" i="5"/>
  <c r="AI532" i="5"/>
  <c r="AH449" i="5"/>
  <c r="AI449" i="5"/>
  <c r="AH346" i="5"/>
  <c r="AI346" i="5"/>
  <c r="AI301" i="5"/>
  <c r="AH301" i="5"/>
  <c r="AI101" i="5"/>
  <c r="AH101" i="5"/>
  <c r="AI117" i="5"/>
  <c r="AH117" i="5"/>
  <c r="AI202" i="5"/>
  <c r="AH202" i="5"/>
  <c r="AH172" i="5"/>
  <c r="AI172" i="5"/>
  <c r="AI190" i="5"/>
  <c r="AH190" i="5"/>
  <c r="AI68" i="5"/>
  <c r="AH68" i="5"/>
  <c r="AH183" i="5"/>
  <c r="AI183" i="5"/>
  <c r="AI145" i="5"/>
  <c r="AH145" i="5"/>
  <c r="AI400" i="5"/>
  <c r="AH400" i="5"/>
  <c r="AI475" i="5"/>
  <c r="AH475" i="5"/>
  <c r="AH311" i="5"/>
  <c r="AI311" i="5"/>
  <c r="AI193" i="5"/>
  <c r="AH193" i="5"/>
  <c r="AH500" i="5"/>
  <c r="AI500" i="5"/>
  <c r="AH351" i="5"/>
  <c r="AI351" i="5"/>
  <c r="AI508" i="5"/>
  <c r="AH508" i="5"/>
  <c r="AH249" i="5"/>
  <c r="AI249" i="5"/>
  <c r="AH418" i="5"/>
  <c r="AI418" i="5"/>
  <c r="AH182" i="5"/>
  <c r="AI182" i="5"/>
  <c r="AH150" i="5"/>
  <c r="AI150" i="5"/>
  <c r="AH252" i="5"/>
  <c r="AI252" i="5"/>
  <c r="AI149" i="5"/>
  <c r="AH149" i="5"/>
  <c r="AH110" i="5"/>
  <c r="AI110" i="5"/>
  <c r="AI243" i="5"/>
  <c r="AH243" i="5"/>
  <c r="AI98" i="5"/>
  <c r="AH98" i="5"/>
  <c r="AH30" i="5"/>
  <c r="AI30" i="5"/>
  <c r="AH450" i="5"/>
  <c r="AI450" i="5"/>
  <c r="AI374" i="5"/>
  <c r="AH374" i="5"/>
  <c r="AH155" i="5"/>
  <c r="AI155" i="5"/>
  <c r="AH13" i="5"/>
  <c r="AI13" i="5"/>
  <c r="AI88" i="5"/>
  <c r="AH88" i="5"/>
  <c r="AH184" i="5"/>
  <c r="AI184" i="5"/>
  <c r="AI72" i="5"/>
  <c r="AH72" i="5"/>
  <c r="AH352" i="5"/>
  <c r="AI352" i="5"/>
  <c r="AE103" i="4"/>
  <c r="AA103" i="4"/>
  <c r="Z103" i="4"/>
  <c r="AH103" i="4"/>
  <c r="AH75" i="4"/>
  <c r="AE75" i="4"/>
  <c r="AQ308" i="5" l="1"/>
  <c r="BI280" i="5"/>
  <c r="AQ326" i="5"/>
  <c r="AR490" i="5"/>
  <c r="AQ232" i="5"/>
  <c r="BI72" i="5"/>
  <c r="BI232" i="5"/>
  <c r="AR72" i="5"/>
  <c r="BI308" i="5"/>
  <c r="AQ280" i="5"/>
  <c r="AQ490" i="5"/>
  <c r="AQ92" i="5"/>
  <c r="AR92" i="5"/>
  <c r="BI330" i="5"/>
  <c r="AR45" i="5"/>
  <c r="AR214" i="5"/>
  <c r="BI530" i="5"/>
  <c r="BI438" i="5"/>
  <c r="AQ110" i="5"/>
  <c r="BI453" i="5"/>
  <c r="AQ156" i="5"/>
  <c r="AR427" i="5"/>
  <c r="BI129" i="5"/>
  <c r="BJ129" i="5" s="1"/>
  <c r="BI420" i="5"/>
  <c r="AR199" i="5"/>
  <c r="AQ335" i="5"/>
  <c r="BI30" i="5"/>
  <c r="BK30" i="5" s="1"/>
  <c r="AR420" i="5"/>
  <c r="AR197" i="5"/>
  <c r="AQ197" i="5"/>
  <c r="AQ352" i="5"/>
  <c r="AQ199" i="5"/>
  <c r="AR129" i="5"/>
  <c r="AR330" i="5"/>
  <c r="AR206" i="5"/>
  <c r="AQ313" i="5"/>
  <c r="AQ206" i="5"/>
  <c r="AR318" i="5"/>
  <c r="AQ102" i="5"/>
  <c r="AR313" i="5"/>
  <c r="AR451" i="5"/>
  <c r="AQ19" i="5"/>
  <c r="BI233" i="5"/>
  <c r="BJ233" i="5" s="1"/>
  <c r="BI318" i="5"/>
  <c r="AR435" i="5"/>
  <c r="AQ117" i="5"/>
  <c r="AQ69" i="5"/>
  <c r="AR449" i="5"/>
  <c r="AR351" i="5"/>
  <c r="AR30" i="5"/>
  <c r="AQ435" i="5"/>
  <c r="BI117" i="5"/>
  <c r="BI354" i="5"/>
  <c r="BI69" i="5"/>
  <c r="BK69" i="5" s="1"/>
  <c r="BI449" i="5"/>
  <c r="BK449" i="5" s="1"/>
  <c r="BI61" i="5"/>
  <c r="AQ78" i="5"/>
  <c r="AR10" i="5"/>
  <c r="AR57" i="5"/>
  <c r="BI78" i="5"/>
  <c r="AR52" i="5"/>
  <c r="AQ198" i="5"/>
  <c r="AR118" i="5"/>
  <c r="AQ540" i="5"/>
  <c r="AQ222" i="5"/>
  <c r="AR50" i="5"/>
  <c r="BI324" i="5"/>
  <c r="BJ324" i="5" s="1"/>
  <c r="BI404" i="5"/>
  <c r="AQ433" i="5"/>
  <c r="BI299" i="5"/>
  <c r="Z127" i="4"/>
  <c r="AN127" i="4" s="1"/>
  <c r="AR545" i="5"/>
  <c r="AQ120" i="5"/>
  <c r="AR80" i="5"/>
  <c r="BI362" i="5"/>
  <c r="BK362" i="5" s="1"/>
  <c r="AA154" i="4"/>
  <c r="BI100" i="5"/>
  <c r="BI212" i="5"/>
  <c r="BK212" i="5" s="1"/>
  <c r="Z123" i="4"/>
  <c r="AN123" i="4" s="1"/>
  <c r="Z73" i="4"/>
  <c r="AQ143" i="5"/>
  <c r="BI545" i="5"/>
  <c r="BI120" i="5"/>
  <c r="BK120" i="5" s="1"/>
  <c r="AQ80" i="5"/>
  <c r="AR362" i="5"/>
  <c r="AR124" i="5"/>
  <c r="AQ100" i="5"/>
  <c r="AR212" i="5"/>
  <c r="AA73" i="4"/>
  <c r="AR491" i="5"/>
  <c r="BI42" i="5"/>
  <c r="BK42" i="5" s="1"/>
  <c r="AR143" i="5"/>
  <c r="AQ124" i="5"/>
  <c r="AQ445" i="5"/>
  <c r="AR445" i="5"/>
  <c r="BI491" i="5"/>
  <c r="AQ297" i="5"/>
  <c r="AQ42" i="5"/>
  <c r="BI7" i="5"/>
  <c r="BJ7" i="5" s="1"/>
  <c r="BI297" i="5"/>
  <c r="AA130" i="4"/>
  <c r="AR211" i="5"/>
  <c r="AR289" i="5"/>
  <c r="BI341" i="5"/>
  <c r="BI79" i="5"/>
  <c r="BK79" i="5" s="1"/>
  <c r="AR58" i="5"/>
  <c r="AQ211" i="5"/>
  <c r="AQ289" i="5"/>
  <c r="AR341" i="5"/>
  <c r="AR79" i="5"/>
  <c r="AQ58" i="5"/>
  <c r="Z154" i="4"/>
  <c r="AR510" i="5"/>
  <c r="Z130" i="4"/>
  <c r="AR122" i="5"/>
  <c r="BI510" i="5"/>
  <c r="AQ258" i="5"/>
  <c r="AR111" i="5"/>
  <c r="AA86" i="4"/>
  <c r="AQ86" i="4" s="1"/>
  <c r="AQ122" i="5"/>
  <c r="BI258" i="5"/>
  <c r="BK258" i="5" s="1"/>
  <c r="AQ251" i="5"/>
  <c r="AQ111" i="5"/>
  <c r="Z86" i="4"/>
  <c r="AA127" i="4"/>
  <c r="AQ116" i="5"/>
  <c r="AR251" i="5"/>
  <c r="BI29" i="5"/>
  <c r="AQ153" i="5"/>
  <c r="AR370" i="5"/>
  <c r="AR243" i="5"/>
  <c r="AQ443" i="5"/>
  <c r="BI123" i="5"/>
  <c r="BK123" i="5" s="1"/>
  <c r="AR110" i="5"/>
  <c r="AR60" i="5"/>
  <c r="BI355" i="5"/>
  <c r="BJ355" i="5" s="1"/>
  <c r="AR438" i="5"/>
  <c r="AQ348" i="5"/>
  <c r="AR233" i="5"/>
  <c r="AQ182" i="5"/>
  <c r="BI451" i="5"/>
  <c r="BJ451" i="5" s="1"/>
  <c r="AQ354" i="5"/>
  <c r="BI214" i="5"/>
  <c r="BK214" i="5" s="1"/>
  <c r="AR91" i="5"/>
  <c r="BI352" i="5"/>
  <c r="BK352" i="5" s="1"/>
  <c r="BI52" i="5"/>
  <c r="BI188" i="5"/>
  <c r="BK188" i="5" s="1"/>
  <c r="AR447" i="5"/>
  <c r="AQ383" i="5"/>
  <c r="AQ272" i="5"/>
  <c r="BI27" i="5"/>
  <c r="BJ27" i="5" s="1"/>
  <c r="AR156" i="5"/>
  <c r="AQ87" i="5"/>
  <c r="BI351" i="5"/>
  <c r="AR102" i="5"/>
  <c r="AR422" i="5"/>
  <c r="AR335" i="5"/>
  <c r="AQ152" i="5"/>
  <c r="AQ263" i="5"/>
  <c r="BI272" i="5"/>
  <c r="BJ272" i="5" s="1"/>
  <c r="BI465" i="5"/>
  <c r="Z92" i="4"/>
  <c r="AK92" i="4" s="1"/>
  <c r="AL92" i="4" s="1"/>
  <c r="BI152" i="5"/>
  <c r="BJ152" i="5" s="1"/>
  <c r="BI340" i="5"/>
  <c r="AR263" i="5"/>
  <c r="BI528" i="5"/>
  <c r="BI24" i="5"/>
  <c r="BK24" i="5" s="1"/>
  <c r="AR501" i="5"/>
  <c r="AQ99" i="5"/>
  <c r="AQ554" i="5"/>
  <c r="AQ472" i="5"/>
  <c r="AR465" i="5"/>
  <c r="AR82" i="5"/>
  <c r="AQ340" i="5"/>
  <c r="BI158" i="5"/>
  <c r="BJ158" i="5" s="1"/>
  <c r="AQ528" i="5"/>
  <c r="AQ24" i="5"/>
  <c r="AQ501" i="5"/>
  <c r="BI99" i="5"/>
  <c r="BJ99" i="5" s="1"/>
  <c r="BI554" i="5"/>
  <c r="BI472" i="5"/>
  <c r="BJ472" i="5" s="1"/>
  <c r="BI319" i="5"/>
  <c r="BJ319" i="5" s="1"/>
  <c r="BI82" i="5"/>
  <c r="BJ82" i="5" s="1"/>
  <c r="AQ200" i="5"/>
  <c r="AR169" i="5"/>
  <c r="AQ158" i="5"/>
  <c r="BI163" i="5"/>
  <c r="BJ163" i="5" s="1"/>
  <c r="AR425" i="5"/>
  <c r="AQ98" i="5"/>
  <c r="AR319" i="5"/>
  <c r="AQ215" i="5"/>
  <c r="AR200" i="5"/>
  <c r="AQ169" i="5"/>
  <c r="AR247" i="5"/>
  <c r="BI523" i="5"/>
  <c r="BJ523" i="5" s="1"/>
  <c r="BI198" i="5"/>
  <c r="BJ198" i="5" s="1"/>
  <c r="BI247" i="5"/>
  <c r="AR163" i="5"/>
  <c r="BI425" i="5"/>
  <c r="BJ425" i="5" s="1"/>
  <c r="AR98" i="5"/>
  <c r="BI310" i="5"/>
  <c r="BK310" i="5" s="1"/>
  <c r="AQ269" i="5"/>
  <c r="AR215" i="5"/>
  <c r="AQ126" i="5"/>
  <c r="Z126" i="4"/>
  <c r="AK126" i="4" s="1"/>
  <c r="AL126" i="4" s="1"/>
  <c r="AA76" i="4"/>
  <c r="AA126" i="4"/>
  <c r="Z145" i="4"/>
  <c r="AK145" i="4" s="1"/>
  <c r="AL145" i="4" s="1"/>
  <c r="AA56" i="4"/>
  <c r="AA145" i="4"/>
  <c r="AP145" i="4" s="1"/>
  <c r="Z56" i="4"/>
  <c r="AF56" i="4" s="1"/>
  <c r="AG56" i="4" s="1"/>
  <c r="AI56" i="4" s="1"/>
  <c r="BI395" i="5"/>
  <c r="AQ426" i="5"/>
  <c r="BI283" i="5"/>
  <c r="AQ189" i="5"/>
  <c r="AQ234" i="5"/>
  <c r="AR193" i="5"/>
  <c r="AQ203" i="5"/>
  <c r="AQ373" i="5"/>
  <c r="AQ210" i="5"/>
  <c r="AQ403" i="5"/>
  <c r="AQ538" i="5"/>
  <c r="BI203" i="5"/>
  <c r="BK203" i="5" s="1"/>
  <c r="BI41" i="5"/>
  <c r="AR316" i="5"/>
  <c r="AR538" i="5"/>
  <c r="BI393" i="5"/>
  <c r="BJ393" i="5" s="1"/>
  <c r="BI397" i="5"/>
  <c r="AQ316" i="5"/>
  <c r="AQ303" i="5"/>
  <c r="AQ85" i="5"/>
  <c r="AQ393" i="5"/>
  <c r="AQ392" i="5"/>
  <c r="AQ397" i="5"/>
  <c r="BI303" i="5"/>
  <c r="BJ303" i="5" s="1"/>
  <c r="AQ475" i="5"/>
  <c r="AR470" i="5"/>
  <c r="AR392" i="5"/>
  <c r="AR249" i="5"/>
  <c r="AR395" i="5"/>
  <c r="BI475" i="5"/>
  <c r="BJ475" i="5" s="1"/>
  <c r="BI470" i="5"/>
  <c r="BJ470" i="5" s="1"/>
  <c r="BI249" i="5"/>
  <c r="BJ249" i="5" s="1"/>
  <c r="AQ459" i="5"/>
  <c r="AR426" i="5"/>
  <c r="AQ283" i="5"/>
  <c r="BI488" i="5"/>
  <c r="BK488" i="5" s="1"/>
  <c r="AQ89" i="5"/>
  <c r="BI424" i="5"/>
  <c r="BJ424" i="5" s="1"/>
  <c r="AR161" i="5"/>
  <c r="AQ477" i="5"/>
  <c r="AR114" i="5"/>
  <c r="BI204" i="5"/>
  <c r="BJ204" i="5" s="1"/>
  <c r="AQ432" i="5"/>
  <c r="AQ37" i="5"/>
  <c r="BI505" i="5"/>
  <c r="BJ505" i="5" s="1"/>
  <c r="AR396" i="5"/>
  <c r="AQ424" i="5"/>
  <c r="AQ161" i="5"/>
  <c r="AQ114" i="5"/>
  <c r="AR59" i="5"/>
  <c r="BI405" i="5"/>
  <c r="AQ59" i="5"/>
  <c r="AR405" i="5"/>
  <c r="AQ522" i="5"/>
  <c r="AQ194" i="5"/>
  <c r="AR366" i="5"/>
  <c r="AQ257" i="5"/>
  <c r="AR522" i="5"/>
  <c r="AR304" i="5"/>
  <c r="AR194" i="5"/>
  <c r="BI366" i="5"/>
  <c r="BK366" i="5" s="1"/>
  <c r="AR257" i="5"/>
  <c r="AR439" i="5"/>
  <c r="AQ304" i="5"/>
  <c r="BI218" i="5"/>
  <c r="AQ174" i="5"/>
  <c r="AQ439" i="5"/>
  <c r="AR167" i="5"/>
  <c r="AQ218" i="5"/>
  <c r="BI174" i="5"/>
  <c r="BJ174" i="5" s="1"/>
  <c r="AQ167" i="5"/>
  <c r="AR323" i="5"/>
  <c r="AR531" i="5"/>
  <c r="BI290" i="5"/>
  <c r="BJ290" i="5" s="1"/>
  <c r="BI34" i="5"/>
  <c r="AR240" i="5"/>
  <c r="AQ323" i="5"/>
  <c r="AQ484" i="5"/>
  <c r="BI531" i="5"/>
  <c r="AQ245" i="5"/>
  <c r="AQ290" i="5"/>
  <c r="AR195" i="5"/>
  <c r="AR34" i="5"/>
  <c r="AQ240" i="5"/>
  <c r="AJ29" i="4"/>
  <c r="AA29" i="4"/>
  <c r="AP29" i="4" s="1"/>
  <c r="AJ34" i="4"/>
  <c r="AA34" i="4"/>
  <c r="AQ34" i="4" s="1"/>
  <c r="BI427" i="5"/>
  <c r="BK427" i="5" s="1"/>
  <c r="AR85" i="5"/>
  <c r="AQ486" i="5"/>
  <c r="AA32" i="4"/>
  <c r="AC32" i="4" s="1"/>
  <c r="AD32" i="4" s="1"/>
  <c r="BI334" i="5"/>
  <c r="BJ334" i="5" s="1"/>
  <c r="AR51" i="5"/>
  <c r="AQ557" i="5"/>
  <c r="BI91" i="5"/>
  <c r="BK91" i="5" s="1"/>
  <c r="AR530" i="5"/>
  <c r="AR71" i="5"/>
  <c r="BI208" i="5"/>
  <c r="AQ455" i="5"/>
  <c r="AR61" i="5"/>
  <c r="BI422" i="5"/>
  <c r="BJ422" i="5" s="1"/>
  <c r="AR534" i="5"/>
  <c r="AR459" i="5"/>
  <c r="BI519" i="5"/>
  <c r="BJ519" i="5" s="1"/>
  <c r="AA30" i="4"/>
  <c r="AC30" i="4" s="1"/>
  <c r="AD30" i="4" s="1"/>
  <c r="AR364" i="5"/>
  <c r="AQ262" i="5"/>
  <c r="AQ381" i="5"/>
  <c r="BI502" i="5"/>
  <c r="BK502" i="5" s="1"/>
  <c r="BI329" i="5"/>
  <c r="AQ359" i="5"/>
  <c r="AR116" i="5"/>
  <c r="AQ349" i="5"/>
  <c r="AQ332" i="5"/>
  <c r="AA27" i="4"/>
  <c r="AP27" i="4" s="1"/>
  <c r="BI95" i="5"/>
  <c r="BK95" i="5" s="1"/>
  <c r="BI364" i="5"/>
  <c r="BJ364" i="5" s="1"/>
  <c r="AR314" i="5"/>
  <c r="AR262" i="5"/>
  <c r="AQ230" i="5"/>
  <c r="AR381" i="5"/>
  <c r="AQ175" i="5"/>
  <c r="AQ329" i="5"/>
  <c r="BI359" i="5"/>
  <c r="AR349" i="5"/>
  <c r="AQ56" i="5"/>
  <c r="AA26" i="4"/>
  <c r="AQ26" i="4" s="1"/>
  <c r="AQ513" i="5"/>
  <c r="BI314" i="5"/>
  <c r="BK314" i="5" s="1"/>
  <c r="BI180" i="5"/>
  <c r="BK180" i="5" s="1"/>
  <c r="BI230" i="5"/>
  <c r="BJ230" i="5" s="1"/>
  <c r="AR175" i="5"/>
  <c r="BI236" i="5"/>
  <c r="BK236" i="5" s="1"/>
  <c r="AQ384" i="5"/>
  <c r="AR121" i="5"/>
  <c r="AR287" i="5"/>
  <c r="AR96" i="5"/>
  <c r="AR278" i="5"/>
  <c r="AR226" i="5"/>
  <c r="BI458" i="5"/>
  <c r="BK458" i="5" s="1"/>
  <c r="AQ533" i="5"/>
  <c r="AR473" i="5"/>
  <c r="AQ544" i="5"/>
  <c r="AR56" i="5"/>
  <c r="AR513" i="5"/>
  <c r="AR104" i="5"/>
  <c r="AR180" i="5"/>
  <c r="BI389" i="5"/>
  <c r="BJ389" i="5" s="1"/>
  <c r="AR236" i="5"/>
  <c r="AR384" i="5"/>
  <c r="AQ121" i="5"/>
  <c r="BI287" i="5"/>
  <c r="BJ287" i="5" s="1"/>
  <c r="BI96" i="5"/>
  <c r="BJ96" i="5" s="1"/>
  <c r="AQ278" i="5"/>
  <c r="AQ494" i="5"/>
  <c r="BI226" i="5"/>
  <c r="AA35" i="4"/>
  <c r="AP35" i="4" s="1"/>
  <c r="BI296" i="5"/>
  <c r="AQ458" i="5"/>
  <c r="BI533" i="5"/>
  <c r="BI473" i="5"/>
  <c r="BJ473" i="5" s="1"/>
  <c r="AR544" i="5"/>
  <c r="BI104" i="5"/>
  <c r="BJ104" i="5" s="1"/>
  <c r="AQ63" i="5"/>
  <c r="AR246" i="5"/>
  <c r="AR389" i="5"/>
  <c r="AR494" i="5"/>
  <c r="AR296" i="5"/>
  <c r="BI63" i="5"/>
  <c r="BJ63" i="5" s="1"/>
  <c r="BI246" i="5"/>
  <c r="AQ423" i="5"/>
  <c r="AR412" i="5"/>
  <c r="AQ347" i="5"/>
  <c r="AQ142" i="5"/>
  <c r="AQ26" i="5"/>
  <c r="AQ302" i="5"/>
  <c r="X31" i="4"/>
  <c r="AJ31" i="4" s="1"/>
  <c r="AJ33" i="4"/>
  <c r="AR353" i="5"/>
  <c r="BI155" i="5"/>
  <c r="BK155" i="5" s="1"/>
  <c r="AR423" i="5"/>
  <c r="AQ412" i="5"/>
  <c r="AR347" i="5"/>
  <c r="BI142" i="5"/>
  <c r="AR26" i="5"/>
  <c r="BI315" i="5"/>
  <c r="BI302" i="5"/>
  <c r="BJ302" i="5" s="1"/>
  <c r="AR334" i="5"/>
  <c r="BI353" i="5"/>
  <c r="BJ353" i="5" s="1"/>
  <c r="AR557" i="5"/>
  <c r="AQ155" i="5"/>
  <c r="BI71" i="5"/>
  <c r="BI455" i="5"/>
  <c r="BK455" i="5" s="1"/>
  <c r="AQ315" i="5"/>
  <c r="AA28" i="4"/>
  <c r="AC28" i="4" s="1"/>
  <c r="AD28" i="4" s="1"/>
  <c r="AQ107" i="5"/>
  <c r="BI19" i="5"/>
  <c r="BJ19" i="5" s="1"/>
  <c r="AR149" i="5"/>
  <c r="AR307" i="5"/>
  <c r="AQ57" i="5"/>
  <c r="AQ337" i="5"/>
  <c r="AR371" i="5"/>
  <c r="BI390" i="5"/>
  <c r="BK390" i="5" s="1"/>
  <c r="AQ149" i="5"/>
  <c r="AQ307" i="5"/>
  <c r="BI371" i="5"/>
  <c r="BJ371" i="5" s="1"/>
  <c r="AR390" i="5"/>
  <c r="AR311" i="5"/>
  <c r="Z109" i="4"/>
  <c r="AK109" i="4" s="1"/>
  <c r="AL109" i="4" s="1"/>
  <c r="BI311" i="5"/>
  <c r="BI131" i="5"/>
  <c r="BK131" i="5" s="1"/>
  <c r="BI548" i="5"/>
  <c r="BJ548" i="5" s="1"/>
  <c r="AQ479" i="5"/>
  <c r="BI450" i="5"/>
  <c r="BJ450" i="5" s="1"/>
  <c r="BI248" i="5"/>
  <c r="BJ248" i="5" s="1"/>
  <c r="AR94" i="5"/>
  <c r="BI288" i="5"/>
  <c r="BK288" i="5" s="1"/>
  <c r="AQ548" i="5"/>
  <c r="AR479" i="5"/>
  <c r="AR450" i="5"/>
  <c r="AQ248" i="5"/>
  <c r="BI322" i="5"/>
  <c r="BI94" i="5"/>
  <c r="BJ94" i="5" s="1"/>
  <c r="AR288" i="5"/>
  <c r="BI221" i="5"/>
  <c r="BK221" i="5" s="1"/>
  <c r="AR131" i="5"/>
  <c r="AR547" i="5"/>
  <c r="AR428" i="5"/>
  <c r="AR322" i="5"/>
  <c r="AQ221" i="5"/>
  <c r="AQ448" i="5"/>
  <c r="BI325" i="5"/>
  <c r="AQ547" i="5"/>
  <c r="BI428" i="5"/>
  <c r="BK428" i="5" s="1"/>
  <c r="AR448" i="5"/>
  <c r="AR196" i="5"/>
  <c r="BI62" i="5"/>
  <c r="BJ62" i="5" s="1"/>
  <c r="AQ325" i="5"/>
  <c r="BI187" i="5"/>
  <c r="BJ187" i="5" s="1"/>
  <c r="AQ453" i="5"/>
  <c r="AQ196" i="5"/>
  <c r="BI107" i="5"/>
  <c r="BJ107" i="5" s="1"/>
  <c r="AR337" i="5"/>
  <c r="Z55" i="4"/>
  <c r="AN55" i="4" s="1"/>
  <c r="AQ10" i="5"/>
  <c r="AA55" i="4"/>
  <c r="Z54" i="4"/>
  <c r="AN54" i="4" s="1"/>
  <c r="Z105" i="4"/>
  <c r="AF105" i="4" s="1"/>
  <c r="AG105" i="4" s="1"/>
  <c r="AI105" i="4" s="1"/>
  <c r="AA151" i="4"/>
  <c r="AQ151" i="4" s="1"/>
  <c r="AA54" i="4"/>
  <c r="AQ54" i="4" s="1"/>
  <c r="AA105" i="4"/>
  <c r="AQ105" i="4" s="1"/>
  <c r="Z142" i="4"/>
  <c r="AA148" i="4"/>
  <c r="AP148" i="4" s="1"/>
  <c r="AA142" i="4"/>
  <c r="AP142" i="4" s="1"/>
  <c r="Z78" i="4"/>
  <c r="AK78" i="4" s="1"/>
  <c r="AL78" i="4" s="1"/>
  <c r="AA85" i="4"/>
  <c r="AQ85" i="4" s="1"/>
  <c r="AA129" i="4"/>
  <c r="AC129" i="4" s="1"/>
  <c r="AD129" i="4" s="1"/>
  <c r="Z85" i="4"/>
  <c r="AN85" i="4" s="1"/>
  <c r="Z129" i="4"/>
  <c r="AN129" i="4" s="1"/>
  <c r="AA114" i="4"/>
  <c r="AC114" i="4" s="1"/>
  <c r="AD114" i="4" s="1"/>
  <c r="Z63" i="4"/>
  <c r="AK63" i="4" s="1"/>
  <c r="AL63" i="4" s="1"/>
  <c r="AA63" i="4"/>
  <c r="AQ63" i="4" s="1"/>
  <c r="Z114" i="4"/>
  <c r="AA78" i="4"/>
  <c r="AA61" i="4"/>
  <c r="AC61" i="4" s="1"/>
  <c r="AD61" i="4" s="1"/>
  <c r="Z134" i="4"/>
  <c r="AK134" i="4" s="1"/>
  <c r="AL134" i="4" s="1"/>
  <c r="AA117" i="4"/>
  <c r="AQ117" i="4" s="1"/>
  <c r="Z61" i="4"/>
  <c r="AN61" i="4" s="1"/>
  <c r="AA134" i="4"/>
  <c r="AP134" i="4" s="1"/>
  <c r="Z152" i="4"/>
  <c r="AN152" i="4" s="1"/>
  <c r="AA152" i="4"/>
  <c r="AP152" i="4" s="1"/>
  <c r="Z101" i="4"/>
  <c r="AF101" i="4" s="1"/>
  <c r="AG101" i="4" s="1"/>
  <c r="AI101" i="4" s="1"/>
  <c r="AA149" i="4"/>
  <c r="AQ149" i="4" s="1"/>
  <c r="AA155" i="4"/>
  <c r="AP155" i="4" s="1"/>
  <c r="Z133" i="4"/>
  <c r="AN133" i="4" s="1"/>
  <c r="Z69" i="4"/>
  <c r="AK69" i="4" s="1"/>
  <c r="AL69" i="4" s="1"/>
  <c r="Z95" i="4"/>
  <c r="AN95" i="4" s="1"/>
  <c r="Z110" i="4"/>
  <c r="AN110" i="4" s="1"/>
  <c r="AA97" i="4"/>
  <c r="AC97" i="4" s="1"/>
  <c r="AD97" i="4" s="1"/>
  <c r="Z111" i="4"/>
  <c r="AK111" i="4" s="1"/>
  <c r="AL111" i="4" s="1"/>
  <c r="AA113" i="4"/>
  <c r="AQ113" i="4" s="1"/>
  <c r="Z106" i="4"/>
  <c r="AN106" i="4" s="1"/>
  <c r="AA95" i="4"/>
  <c r="AQ95" i="4" s="1"/>
  <c r="Z65" i="4"/>
  <c r="AN65" i="4" s="1"/>
  <c r="AA59" i="4"/>
  <c r="AQ59" i="4" s="1"/>
  <c r="AA112" i="4"/>
  <c r="AC112" i="4" s="1"/>
  <c r="AD112" i="4" s="1"/>
  <c r="AA110" i="4"/>
  <c r="AP110" i="4" s="1"/>
  <c r="Z113" i="4"/>
  <c r="AK113" i="4" s="1"/>
  <c r="AL113" i="4" s="1"/>
  <c r="AA135" i="4"/>
  <c r="AC135" i="4" s="1"/>
  <c r="AD135" i="4" s="1"/>
  <c r="AA106" i="4"/>
  <c r="AC106" i="4" s="1"/>
  <c r="AD106" i="4" s="1"/>
  <c r="AA57" i="4"/>
  <c r="AQ57" i="4" s="1"/>
  <c r="AA111" i="4"/>
  <c r="AP111" i="4" s="1"/>
  <c r="Z59" i="4"/>
  <c r="AF59" i="4" s="1"/>
  <c r="AG59" i="4" s="1"/>
  <c r="AI59" i="4" s="1"/>
  <c r="Z112" i="4"/>
  <c r="AK112" i="4" s="1"/>
  <c r="AL112" i="4" s="1"/>
  <c r="Z117" i="4"/>
  <c r="AK117" i="4" s="1"/>
  <c r="AL117" i="4" s="1"/>
  <c r="Z135" i="4"/>
  <c r="AN135" i="4" s="1"/>
  <c r="Z57" i="4"/>
  <c r="AN57" i="4" s="1"/>
  <c r="AA141" i="4"/>
  <c r="AQ141" i="4" s="1"/>
  <c r="AA156" i="4"/>
  <c r="AQ156" i="4" s="1"/>
  <c r="AA92" i="4"/>
  <c r="AQ92" i="4" s="1"/>
  <c r="AA79" i="4"/>
  <c r="AP79" i="4" s="1"/>
  <c r="Z94" i="4"/>
  <c r="AF94" i="4" s="1"/>
  <c r="AG94" i="4" s="1"/>
  <c r="AI94" i="4" s="1"/>
  <c r="Z140" i="4"/>
  <c r="AK140" i="4" s="1"/>
  <c r="AL140" i="4" s="1"/>
  <c r="AA108" i="4"/>
  <c r="AC108" i="4" s="1"/>
  <c r="AD108" i="4" s="1"/>
  <c r="Z137" i="4"/>
  <c r="AF137" i="4" s="1"/>
  <c r="AG137" i="4" s="1"/>
  <c r="AI137" i="4" s="1"/>
  <c r="Z141" i="4"/>
  <c r="AN141" i="4" s="1"/>
  <c r="Z90" i="4"/>
  <c r="AF90" i="4" s="1"/>
  <c r="AG90" i="4" s="1"/>
  <c r="AI90" i="4" s="1"/>
  <c r="Z67" i="4"/>
  <c r="AK67" i="4" s="1"/>
  <c r="AL67" i="4" s="1"/>
  <c r="AA60" i="4"/>
  <c r="AQ60" i="4" s="1"/>
  <c r="AA137" i="4"/>
  <c r="AP137" i="4" s="1"/>
  <c r="Z156" i="4"/>
  <c r="AK156" i="4" s="1"/>
  <c r="AL156" i="4" s="1"/>
  <c r="AA94" i="4"/>
  <c r="AQ94" i="4" s="1"/>
  <c r="Z102" i="4"/>
  <c r="AN102" i="4" s="1"/>
  <c r="AA140" i="4"/>
  <c r="AC140" i="4" s="1"/>
  <c r="AD140" i="4" s="1"/>
  <c r="Z118" i="4"/>
  <c r="AK118" i="4" s="1"/>
  <c r="AL118" i="4" s="1"/>
  <c r="Z77" i="4"/>
  <c r="AN77" i="4" s="1"/>
  <c r="Z60" i="4"/>
  <c r="AN60" i="4" s="1"/>
  <c r="AA109" i="4"/>
  <c r="AP109" i="4" s="1"/>
  <c r="Z108" i="4"/>
  <c r="AF108" i="4" s="1"/>
  <c r="AG108" i="4" s="1"/>
  <c r="AI108" i="4" s="1"/>
  <c r="Z93" i="4"/>
  <c r="AN93" i="4" s="1"/>
  <c r="AA102" i="4"/>
  <c r="AQ102" i="4" s="1"/>
  <c r="AA90" i="4"/>
  <c r="AC90" i="4" s="1"/>
  <c r="AD90" i="4" s="1"/>
  <c r="AA77" i="4"/>
  <c r="AC77" i="4" s="1"/>
  <c r="AD77" i="4" s="1"/>
  <c r="Z79" i="4"/>
  <c r="AN79" i="4" s="1"/>
  <c r="AA93" i="4"/>
  <c r="AQ93" i="4" s="1"/>
  <c r="AA67" i="4"/>
  <c r="AC67" i="4" s="1"/>
  <c r="AD67" i="4" s="1"/>
  <c r="AA101" i="4"/>
  <c r="AP101" i="4" s="1"/>
  <c r="AA98" i="4"/>
  <c r="AP98" i="4" s="1"/>
  <c r="AA96" i="4"/>
  <c r="AQ96" i="4" s="1"/>
  <c r="Z149" i="4"/>
  <c r="AK149" i="4" s="1"/>
  <c r="AL149" i="4" s="1"/>
  <c r="AA81" i="4"/>
  <c r="AP81" i="4" s="1"/>
  <c r="Z98" i="4"/>
  <c r="AK98" i="4" s="1"/>
  <c r="AL98" i="4" s="1"/>
  <c r="AA136" i="4"/>
  <c r="AC136" i="4" s="1"/>
  <c r="AD136" i="4" s="1"/>
  <c r="Z96" i="4"/>
  <c r="AN96" i="4" s="1"/>
  <c r="Z75" i="4"/>
  <c r="AN75" i="4" s="1"/>
  <c r="Z122" i="4"/>
  <c r="AN122" i="4" s="1"/>
  <c r="AA143" i="4"/>
  <c r="AQ143" i="4" s="1"/>
  <c r="AA74" i="4"/>
  <c r="AP74" i="4" s="1"/>
  <c r="AA66" i="4"/>
  <c r="AQ66" i="4" s="1"/>
  <c r="Z81" i="4"/>
  <c r="AN81" i="4" s="1"/>
  <c r="Z136" i="4"/>
  <c r="AN136" i="4" s="1"/>
  <c r="Z89" i="4"/>
  <c r="AK89" i="4" s="1"/>
  <c r="AL89" i="4" s="1"/>
  <c r="AA75" i="4"/>
  <c r="AP75" i="4" s="1"/>
  <c r="AA133" i="4"/>
  <c r="AP133" i="4" s="1"/>
  <c r="Z66" i="4"/>
  <c r="AF66" i="4" s="1"/>
  <c r="AG66" i="4" s="1"/>
  <c r="AI66" i="4" s="1"/>
  <c r="AA122" i="4"/>
  <c r="AQ122" i="4" s="1"/>
  <c r="AA89" i="4"/>
  <c r="AQ89" i="4" s="1"/>
  <c r="Z82" i="4"/>
  <c r="AK82" i="4" s="1"/>
  <c r="AL82" i="4" s="1"/>
  <c r="Z143" i="4"/>
  <c r="AN143" i="4" s="1"/>
  <c r="AA121" i="4"/>
  <c r="AP121" i="4" s="1"/>
  <c r="Z155" i="4"/>
  <c r="AN155" i="4" s="1"/>
  <c r="Z74" i="4"/>
  <c r="AN74" i="4" s="1"/>
  <c r="Z121" i="4"/>
  <c r="AK121" i="4" s="1"/>
  <c r="AL121" i="4" s="1"/>
  <c r="AA82" i="4"/>
  <c r="AQ82" i="4" s="1"/>
  <c r="Z128" i="4"/>
  <c r="AK128" i="4" s="1"/>
  <c r="AL128" i="4" s="1"/>
  <c r="Z144" i="4"/>
  <c r="AK144" i="4" s="1"/>
  <c r="AL144" i="4" s="1"/>
  <c r="Z125" i="4"/>
  <c r="AN125" i="4" s="1"/>
  <c r="AA116" i="4"/>
  <c r="AC116" i="4" s="1"/>
  <c r="AD116" i="4" s="1"/>
  <c r="AA124" i="4"/>
  <c r="AQ124" i="4" s="1"/>
  <c r="AA144" i="4"/>
  <c r="AC144" i="4" s="1"/>
  <c r="AD144" i="4" s="1"/>
  <c r="AA65" i="4"/>
  <c r="AQ65" i="4" s="1"/>
  <c r="Z76" i="4"/>
  <c r="AF76" i="4" s="1"/>
  <c r="AG76" i="4" s="1"/>
  <c r="AI76" i="4" s="1"/>
  <c r="AA62" i="4"/>
  <c r="AP62" i="4" s="1"/>
  <c r="Z97" i="4"/>
  <c r="AK97" i="4" s="1"/>
  <c r="AL97" i="4" s="1"/>
  <c r="Z116" i="4"/>
  <c r="AK116" i="4" s="1"/>
  <c r="AL116" i="4" s="1"/>
  <c r="Z124" i="4"/>
  <c r="AF124" i="4" s="1"/>
  <c r="AG124" i="4" s="1"/>
  <c r="AI124" i="4" s="1"/>
  <c r="AA128" i="4"/>
  <c r="AC128" i="4" s="1"/>
  <c r="AD128" i="4" s="1"/>
  <c r="AA69" i="4"/>
  <c r="AQ69" i="4" s="1"/>
  <c r="AA118" i="4"/>
  <c r="AQ118" i="4" s="1"/>
  <c r="Z62" i="4"/>
  <c r="AN62" i="4" s="1"/>
  <c r="AJ17" i="4"/>
  <c r="AA16" i="4"/>
  <c r="AC16" i="4" s="1"/>
  <c r="AD16" i="4" s="1"/>
  <c r="AA22" i="4"/>
  <c r="AC22" i="4" s="1"/>
  <c r="AD22" i="4" s="1"/>
  <c r="AA12" i="4"/>
  <c r="AQ12" i="4" s="1"/>
  <c r="AA19" i="4"/>
  <c r="AP19" i="4" s="1"/>
  <c r="AA14" i="4"/>
  <c r="AQ14" i="4" s="1"/>
  <c r="AA20" i="4"/>
  <c r="AQ20" i="4" s="1"/>
  <c r="AA10" i="4"/>
  <c r="AP10" i="4" s="1"/>
  <c r="AA11" i="4"/>
  <c r="AQ11" i="4" s="1"/>
  <c r="AA23" i="4"/>
  <c r="AP23" i="4" s="1"/>
  <c r="AA24" i="4"/>
  <c r="AP24" i="4" s="1"/>
  <c r="AA9" i="4"/>
  <c r="AC9" i="4" s="1"/>
  <c r="AD9" i="4" s="1"/>
  <c r="AA21" i="4"/>
  <c r="AQ21" i="4" s="1"/>
  <c r="AA8" i="4"/>
  <c r="AC8" i="4" s="1"/>
  <c r="AD8" i="4" s="1"/>
  <c r="AA15" i="4"/>
  <c r="AQ15" i="4" s="1"/>
  <c r="AA18" i="4"/>
  <c r="AP18" i="4" s="1"/>
  <c r="AA13" i="4"/>
  <c r="AP13" i="4" s="1"/>
  <c r="AA7" i="4"/>
  <c r="AC7" i="4" s="1"/>
  <c r="AD7" i="4" s="1"/>
  <c r="AA25" i="4"/>
  <c r="AP25" i="4" s="1"/>
  <c r="AQ7" i="5"/>
  <c r="B209" i="2" s="1"/>
  <c r="B214" i="2" s="1"/>
  <c r="B215" i="2" s="1"/>
  <c r="B188" i="2"/>
  <c r="B222" i="2" s="1"/>
  <c r="F68" i="1" s="1"/>
  <c r="B190" i="2"/>
  <c r="B226" i="2" s="1"/>
  <c r="F70" i="1" s="1"/>
  <c r="AC418" i="5"/>
  <c r="AD418" i="5" s="1"/>
  <c r="AN151" i="4"/>
  <c r="AK151" i="4"/>
  <c r="AL151" i="4" s="1"/>
  <c r="AF151" i="4"/>
  <c r="AG151" i="4" s="1"/>
  <c r="AI151" i="4" s="1"/>
  <c r="AN28" i="4"/>
  <c r="AK28" i="4"/>
  <c r="AL28" i="4" s="1"/>
  <c r="AF28" i="4"/>
  <c r="AG28" i="4" s="1"/>
  <c r="AI28" i="4" s="1"/>
  <c r="BJ250" i="5"/>
  <c r="BK250" i="5"/>
  <c r="BK43" i="5"/>
  <c r="BJ43" i="5"/>
  <c r="BJ460" i="5"/>
  <c r="BK460" i="5"/>
  <c r="BK544" i="5"/>
  <c r="BJ544" i="5"/>
  <c r="BK118" i="5"/>
  <c r="BJ118" i="5"/>
  <c r="BK32" i="5"/>
  <c r="BJ32" i="5"/>
  <c r="AN45" i="4"/>
  <c r="AK45" i="4"/>
  <c r="AL45" i="4" s="1"/>
  <c r="AF45" i="4"/>
  <c r="AG45" i="4" s="1"/>
  <c r="AI45" i="4" s="1"/>
  <c r="AQ132" i="4"/>
  <c r="AP132" i="4"/>
  <c r="AC132" i="4"/>
  <c r="AD132" i="4" s="1"/>
  <c r="AN17" i="4"/>
  <c r="AF17" i="4"/>
  <c r="AG17" i="4" s="1"/>
  <c r="AI17" i="4" s="1"/>
  <c r="AK17" i="4"/>
  <c r="AL17" i="4" s="1"/>
  <c r="AC154" i="4"/>
  <c r="AD154" i="4" s="1"/>
  <c r="AP154" i="4"/>
  <c r="AQ154" i="4"/>
  <c r="AP115" i="4"/>
  <c r="AQ115" i="4"/>
  <c r="AC115" i="4"/>
  <c r="AD115" i="4" s="1"/>
  <c r="AN40" i="4"/>
  <c r="AK40" i="4"/>
  <c r="AL40" i="4" s="1"/>
  <c r="AF40" i="4"/>
  <c r="AG40" i="4" s="1"/>
  <c r="AI40" i="4" s="1"/>
  <c r="AQ38" i="4"/>
  <c r="AP38" i="4"/>
  <c r="AC38" i="4"/>
  <c r="AD38" i="4" s="1"/>
  <c r="AK13" i="4"/>
  <c r="AL13" i="4" s="1"/>
  <c r="AN13" i="4"/>
  <c r="AF13" i="4"/>
  <c r="AG13" i="4" s="1"/>
  <c r="AI13" i="4" s="1"/>
  <c r="AP83" i="4"/>
  <c r="AQ83" i="4"/>
  <c r="AC83" i="4"/>
  <c r="AD83" i="4" s="1"/>
  <c r="AN31" i="4"/>
  <c r="AF31" i="4"/>
  <c r="AG31" i="4" s="1"/>
  <c r="AI31" i="4" s="1"/>
  <c r="BJ321" i="5"/>
  <c r="BK321" i="5"/>
  <c r="AQ148" i="5"/>
  <c r="BI148" i="5"/>
  <c r="AR148" i="5"/>
  <c r="BJ153" i="5"/>
  <c r="BK153" i="5"/>
  <c r="BK100" i="5"/>
  <c r="BJ100" i="5"/>
  <c r="BJ257" i="5"/>
  <c r="BK257" i="5"/>
  <c r="BJ486" i="5"/>
  <c r="BK486" i="5"/>
  <c r="AN36" i="4"/>
  <c r="AK36" i="4"/>
  <c r="AL36" i="4" s="1"/>
  <c r="AF36" i="4"/>
  <c r="AG36" i="4" s="1"/>
  <c r="AI36" i="4" s="1"/>
  <c r="AP131" i="4"/>
  <c r="AC131" i="4"/>
  <c r="AD131" i="4" s="1"/>
  <c r="AQ131" i="4"/>
  <c r="AP58" i="4"/>
  <c r="AQ58" i="4"/>
  <c r="AC58" i="4"/>
  <c r="AD58" i="4" s="1"/>
  <c r="AQ123" i="4"/>
  <c r="AP123" i="4"/>
  <c r="AC123" i="4"/>
  <c r="AD123" i="4" s="1"/>
  <c r="AN12" i="4"/>
  <c r="AF12" i="4"/>
  <c r="AG12" i="4" s="1"/>
  <c r="AI12" i="4" s="1"/>
  <c r="AK12" i="4"/>
  <c r="AL12" i="4" s="1"/>
  <c r="BK499" i="5"/>
  <c r="BJ499" i="5"/>
  <c r="BJ495" i="5"/>
  <c r="BK495" i="5"/>
  <c r="BK255" i="5"/>
  <c r="BJ255" i="5"/>
  <c r="BK542" i="5"/>
  <c r="BJ542" i="5"/>
  <c r="BK122" i="5"/>
  <c r="BJ122" i="5"/>
  <c r="BK216" i="5"/>
  <c r="BJ216" i="5"/>
  <c r="BJ429" i="5"/>
  <c r="BK429" i="5"/>
  <c r="BI504" i="5"/>
  <c r="AR504" i="5"/>
  <c r="AQ504" i="5"/>
  <c r="BI419" i="5"/>
  <c r="AQ419" i="5"/>
  <c r="AR419" i="5"/>
  <c r="BJ549" i="5"/>
  <c r="BK549" i="5"/>
  <c r="BJ503" i="5"/>
  <c r="BK503" i="5"/>
  <c r="BJ320" i="5"/>
  <c r="BK320" i="5"/>
  <c r="AR462" i="5"/>
  <c r="AQ462" i="5"/>
  <c r="BI462" i="5"/>
  <c r="BJ117" i="5"/>
  <c r="BK117" i="5"/>
  <c r="BJ223" i="5"/>
  <c r="BK223" i="5"/>
  <c r="BI284" i="5"/>
  <c r="AR284" i="5"/>
  <c r="AQ284" i="5"/>
  <c r="BK82" i="5"/>
  <c r="BK269" i="5"/>
  <c r="BJ269" i="5"/>
  <c r="BK50" i="5"/>
  <c r="BJ50" i="5"/>
  <c r="AR186" i="5"/>
  <c r="AQ186" i="5"/>
  <c r="BI186" i="5"/>
  <c r="BK147" i="5"/>
  <c r="BJ147" i="5"/>
  <c r="BJ238" i="5"/>
  <c r="BK238" i="5"/>
  <c r="BK518" i="5"/>
  <c r="BJ518" i="5"/>
  <c r="BJ493" i="5"/>
  <c r="BK493" i="5"/>
  <c r="AF85" i="4"/>
  <c r="AG85" i="4" s="1"/>
  <c r="AI85" i="4" s="1"/>
  <c r="AQ146" i="4"/>
  <c r="AP146" i="4"/>
  <c r="AC146" i="4"/>
  <c r="AD146" i="4" s="1"/>
  <c r="AK64" i="4"/>
  <c r="AL64" i="4" s="1"/>
  <c r="AN64" i="4"/>
  <c r="AF64" i="4"/>
  <c r="AG64" i="4" s="1"/>
  <c r="AI64" i="4" s="1"/>
  <c r="AN37" i="4"/>
  <c r="AF37" i="4"/>
  <c r="AG37" i="4" s="1"/>
  <c r="AI37" i="4" s="1"/>
  <c r="AK37" i="4"/>
  <c r="AL37" i="4" s="1"/>
  <c r="AK68" i="4"/>
  <c r="AL68" i="4" s="1"/>
  <c r="AN68" i="4"/>
  <c r="AF68" i="4"/>
  <c r="AG68" i="4" s="1"/>
  <c r="AI68" i="4" s="1"/>
  <c r="AK119" i="4"/>
  <c r="AL119" i="4" s="1"/>
  <c r="AN119" i="4"/>
  <c r="AF119" i="4"/>
  <c r="AG119" i="4" s="1"/>
  <c r="AI119" i="4" s="1"/>
  <c r="AN43" i="4"/>
  <c r="AK43" i="4"/>
  <c r="AL43" i="4" s="1"/>
  <c r="AF43" i="4"/>
  <c r="AG43" i="4" s="1"/>
  <c r="AI43" i="4" s="1"/>
  <c r="AN84" i="4"/>
  <c r="AK84" i="4"/>
  <c r="AL84" i="4" s="1"/>
  <c r="AF84" i="4"/>
  <c r="AG84" i="4" s="1"/>
  <c r="AI84" i="4" s="1"/>
  <c r="AP84" i="4"/>
  <c r="AQ84" i="4"/>
  <c r="AC84" i="4"/>
  <c r="AD84" i="4" s="1"/>
  <c r="AN148" i="4"/>
  <c r="AK148" i="4"/>
  <c r="AL148" i="4" s="1"/>
  <c r="AF148" i="4"/>
  <c r="AG148" i="4" s="1"/>
  <c r="AI148" i="4" s="1"/>
  <c r="AK70" i="4"/>
  <c r="AL70" i="4" s="1"/>
  <c r="AN70" i="4"/>
  <c r="AF70" i="4"/>
  <c r="AG70" i="4" s="1"/>
  <c r="AI70" i="4" s="1"/>
  <c r="BK200" i="5"/>
  <c r="BJ200" i="5"/>
  <c r="BJ431" i="5"/>
  <c r="BK431" i="5"/>
  <c r="BK381" i="5"/>
  <c r="BJ381" i="5"/>
  <c r="BJ263" i="5"/>
  <c r="BK263" i="5"/>
  <c r="BK560" i="5"/>
  <c r="BJ560" i="5"/>
  <c r="BK190" i="5"/>
  <c r="BJ190" i="5"/>
  <c r="BK417" i="5"/>
  <c r="BJ417" i="5"/>
  <c r="BJ348" i="5"/>
  <c r="BK348" i="5"/>
  <c r="BJ211" i="5"/>
  <c r="BK211" i="5"/>
  <c r="BJ457" i="5"/>
  <c r="BK457" i="5"/>
  <c r="BJ464" i="5"/>
  <c r="BK464" i="5"/>
  <c r="BJ47" i="5"/>
  <c r="BK47" i="5"/>
  <c r="BK406" i="5"/>
  <c r="BJ406" i="5"/>
  <c r="BJ528" i="5"/>
  <c r="BK528" i="5"/>
  <c r="BJ456" i="5"/>
  <c r="BK456" i="5"/>
  <c r="BK157" i="5"/>
  <c r="BJ157" i="5"/>
  <c r="BJ418" i="5"/>
  <c r="BK418" i="5"/>
  <c r="BJ329" i="5"/>
  <c r="BK329" i="5"/>
  <c r="AQ386" i="5"/>
  <c r="BI386" i="5"/>
  <c r="AR386" i="5"/>
  <c r="BK358" i="5"/>
  <c r="BJ358" i="5"/>
  <c r="BK225" i="5"/>
  <c r="BJ225" i="5"/>
  <c r="BK300" i="5"/>
  <c r="BJ300" i="5"/>
  <c r="S9" i="5"/>
  <c r="R9" i="5"/>
  <c r="R135" i="5"/>
  <c r="S135" i="5"/>
  <c r="R432" i="5"/>
  <c r="S432" i="5"/>
  <c r="S381" i="5"/>
  <c r="R381" i="5"/>
  <c r="S151" i="5"/>
  <c r="R151" i="5"/>
  <c r="R129" i="5"/>
  <c r="S129" i="5"/>
  <c r="S222" i="5"/>
  <c r="R222" i="5"/>
  <c r="R107" i="5"/>
  <c r="S107" i="5"/>
  <c r="R240" i="5"/>
  <c r="S240" i="5"/>
  <c r="S34" i="5"/>
  <c r="R34" i="5"/>
  <c r="R454" i="5"/>
  <c r="S454" i="5"/>
  <c r="R257" i="5"/>
  <c r="S257" i="5"/>
  <c r="S378" i="5"/>
  <c r="R378" i="5"/>
  <c r="S223" i="5"/>
  <c r="R223" i="5"/>
  <c r="R125" i="5"/>
  <c r="S125" i="5"/>
  <c r="R128" i="5"/>
  <c r="S128" i="5"/>
  <c r="S253" i="5"/>
  <c r="R253" i="5"/>
  <c r="R419" i="5"/>
  <c r="S419" i="5"/>
  <c r="R533" i="5"/>
  <c r="S533" i="5"/>
  <c r="S343" i="5"/>
  <c r="R343" i="5"/>
  <c r="R37" i="5"/>
  <c r="S37" i="5"/>
  <c r="R401" i="5"/>
  <c r="S401" i="5"/>
  <c r="S536" i="5"/>
  <c r="R536" i="5"/>
  <c r="R489" i="5"/>
  <c r="S489" i="5"/>
  <c r="S324" i="5"/>
  <c r="R324" i="5"/>
  <c r="R508" i="5"/>
  <c r="S508" i="5"/>
  <c r="R444" i="5"/>
  <c r="S444" i="5"/>
  <c r="S289" i="5"/>
  <c r="R289" i="5"/>
  <c r="R259" i="5"/>
  <c r="S259" i="5"/>
  <c r="R20" i="5"/>
  <c r="S20" i="5"/>
  <c r="S486" i="5"/>
  <c r="R486" i="5"/>
  <c r="S195" i="5"/>
  <c r="R195" i="5"/>
  <c r="S178" i="5"/>
  <c r="R178" i="5"/>
  <c r="S126" i="5"/>
  <c r="R126" i="5"/>
  <c r="R85" i="5"/>
  <c r="S85" i="5"/>
  <c r="S556" i="5"/>
  <c r="R556" i="5"/>
  <c r="R546" i="5"/>
  <c r="S546" i="5"/>
  <c r="S59" i="5"/>
  <c r="R59" i="5"/>
  <c r="R203" i="5"/>
  <c r="S203" i="5"/>
  <c r="R147" i="5"/>
  <c r="S147" i="5"/>
  <c r="S232" i="5"/>
  <c r="R232" i="5"/>
  <c r="R162" i="5"/>
  <c r="S162" i="5"/>
  <c r="S420" i="5"/>
  <c r="R420" i="5"/>
  <c r="S41" i="5"/>
  <c r="R41" i="5"/>
  <c r="S406" i="5"/>
  <c r="R406" i="5"/>
  <c r="R270" i="5"/>
  <c r="S270" i="5"/>
  <c r="S49" i="5"/>
  <c r="R49" i="5"/>
  <c r="S519" i="5"/>
  <c r="R519" i="5"/>
  <c r="S83" i="5"/>
  <c r="R83" i="5"/>
  <c r="S196" i="5"/>
  <c r="R196" i="5"/>
  <c r="S205" i="5"/>
  <c r="R205" i="5"/>
  <c r="S491" i="5"/>
  <c r="R491" i="5"/>
  <c r="R340" i="5"/>
  <c r="S340" i="5"/>
  <c r="S380" i="5"/>
  <c r="R380" i="5"/>
  <c r="R469" i="5"/>
  <c r="S469" i="5"/>
  <c r="S297" i="5"/>
  <c r="R297" i="5"/>
  <c r="S153" i="5"/>
  <c r="R153" i="5"/>
  <c r="R216" i="5"/>
  <c r="S216" i="5"/>
  <c r="S84" i="5"/>
  <c r="R84" i="5"/>
  <c r="S511" i="5"/>
  <c r="R511" i="5"/>
  <c r="R403" i="5"/>
  <c r="S403" i="5"/>
  <c r="S77" i="5"/>
  <c r="R77" i="5"/>
  <c r="R358" i="5"/>
  <c r="S358" i="5"/>
  <c r="S198" i="5"/>
  <c r="R198" i="5"/>
  <c r="S262" i="5"/>
  <c r="R262" i="5"/>
  <c r="S160" i="5"/>
  <c r="R160" i="5"/>
  <c r="R307" i="5"/>
  <c r="S307" i="5"/>
  <c r="S100" i="5"/>
  <c r="R100" i="5"/>
  <c r="S437" i="5"/>
  <c r="R437" i="5"/>
  <c r="R525" i="5"/>
  <c r="S525" i="5"/>
  <c r="R312" i="5"/>
  <c r="S312" i="5"/>
  <c r="R189" i="5"/>
  <c r="S189" i="5"/>
  <c r="S258" i="5"/>
  <c r="R258" i="5"/>
  <c r="R239" i="5"/>
  <c r="S239" i="5"/>
  <c r="S171" i="5"/>
  <c r="R171" i="5"/>
  <c r="R31" i="5"/>
  <c r="S31" i="5"/>
  <c r="R230" i="5"/>
  <c r="S230" i="5"/>
  <c r="S433" i="5"/>
  <c r="R433" i="5"/>
  <c r="R106" i="5"/>
  <c r="S106" i="5"/>
  <c r="S494" i="5"/>
  <c r="R494" i="5"/>
  <c r="R431" i="5"/>
  <c r="S431" i="5"/>
  <c r="R429" i="5"/>
  <c r="S429" i="5"/>
  <c r="R553" i="5"/>
  <c r="S553" i="5"/>
  <c r="R446" i="5"/>
  <c r="S446" i="5"/>
  <c r="R379" i="5"/>
  <c r="S379" i="5"/>
  <c r="S200" i="5"/>
  <c r="R200" i="5"/>
  <c r="R228" i="5"/>
  <c r="S228" i="5"/>
  <c r="S164" i="5"/>
  <c r="R164" i="5"/>
  <c r="S370" i="5"/>
  <c r="R370" i="5"/>
  <c r="S552" i="5"/>
  <c r="R552" i="5"/>
  <c r="S140" i="5"/>
  <c r="R140" i="5"/>
  <c r="S467" i="5"/>
  <c r="R467" i="5"/>
  <c r="S414" i="5"/>
  <c r="R414" i="5"/>
  <c r="R427" i="5"/>
  <c r="S427" i="5"/>
  <c r="R473" i="5"/>
  <c r="S473" i="5"/>
  <c r="R74" i="5"/>
  <c r="S74" i="5"/>
  <c r="S248" i="5"/>
  <c r="R248" i="5"/>
  <c r="S261" i="5"/>
  <c r="R261" i="5"/>
  <c r="S163" i="5"/>
  <c r="R163" i="5"/>
  <c r="S320" i="5"/>
  <c r="R320" i="5"/>
  <c r="R172" i="5"/>
  <c r="S172" i="5"/>
  <c r="S349" i="5"/>
  <c r="R349" i="5"/>
  <c r="S197" i="5"/>
  <c r="R197" i="5"/>
  <c r="R19" i="5"/>
  <c r="S19" i="5"/>
  <c r="S82" i="5"/>
  <c r="R82" i="5"/>
  <c r="S315" i="5"/>
  <c r="R315" i="5"/>
  <c r="R535" i="5"/>
  <c r="S535" i="5"/>
  <c r="S296" i="5"/>
  <c r="R296" i="5"/>
  <c r="R346" i="5"/>
  <c r="S346" i="5"/>
  <c r="S393" i="5"/>
  <c r="R393" i="5"/>
  <c r="S149" i="5"/>
  <c r="R149" i="5"/>
  <c r="S204" i="5"/>
  <c r="R204" i="5"/>
  <c r="S187" i="5"/>
  <c r="R187" i="5"/>
  <c r="S506" i="5"/>
  <c r="R506" i="5"/>
  <c r="S412" i="5"/>
  <c r="R412" i="5"/>
  <c r="R66" i="5"/>
  <c r="S66" i="5"/>
  <c r="S434" i="5"/>
  <c r="R434" i="5"/>
  <c r="R461" i="5"/>
  <c r="S461" i="5"/>
  <c r="S72" i="5"/>
  <c r="R72" i="5"/>
  <c r="R389" i="5"/>
  <c r="S389" i="5"/>
  <c r="R529" i="5"/>
  <c r="S529" i="5"/>
  <c r="R350" i="5"/>
  <c r="S350" i="5"/>
  <c r="S111" i="5"/>
  <c r="R111" i="5"/>
  <c r="S542" i="5"/>
  <c r="R542" i="5"/>
  <c r="R269" i="5"/>
  <c r="S269" i="5"/>
  <c r="R460" i="5"/>
  <c r="S460" i="5"/>
  <c r="R123" i="5"/>
  <c r="S123" i="5"/>
  <c r="S168" i="5"/>
  <c r="R168" i="5"/>
  <c r="R137" i="5"/>
  <c r="S137" i="5"/>
  <c r="R69" i="5"/>
  <c r="S69" i="5"/>
  <c r="R400" i="5"/>
  <c r="S400" i="5"/>
  <c r="R416" i="5"/>
  <c r="S416" i="5"/>
  <c r="R504" i="5"/>
  <c r="S504" i="5"/>
  <c r="R495" i="5"/>
  <c r="S495" i="5"/>
  <c r="R459" i="5"/>
  <c r="S459" i="5"/>
  <c r="R150" i="5"/>
  <c r="S150" i="5"/>
  <c r="Q11" i="5"/>
  <c r="AG11" i="5"/>
  <c r="AT11" i="5"/>
  <c r="AM11" i="5"/>
  <c r="AZ11" i="5"/>
  <c r="T11" i="5"/>
  <c r="AW11" i="5"/>
  <c r="AJ11" i="5"/>
  <c r="W11" i="5"/>
  <c r="Z11" i="5"/>
  <c r="AN103" i="4"/>
  <c r="AK103" i="4"/>
  <c r="AL103" i="4" s="1"/>
  <c r="AF103" i="4"/>
  <c r="AG103" i="4" s="1"/>
  <c r="AI103" i="4" s="1"/>
  <c r="AP103" i="4"/>
  <c r="AQ103" i="4"/>
  <c r="AC103" i="4"/>
  <c r="AD103" i="4" s="1"/>
  <c r="BE9" i="5"/>
  <c r="BD9" i="5"/>
  <c r="AP147" i="4"/>
  <c r="AC147" i="4"/>
  <c r="AD147" i="4" s="1"/>
  <c r="AQ147" i="4"/>
  <c r="AN30" i="4"/>
  <c r="AK30" i="4"/>
  <c r="AL30" i="4" s="1"/>
  <c r="AF30" i="4"/>
  <c r="AG30" i="4" s="1"/>
  <c r="AI30" i="4" s="1"/>
  <c r="AK44" i="4"/>
  <c r="AL44" i="4" s="1"/>
  <c r="AN44" i="4"/>
  <c r="AF44" i="4"/>
  <c r="AG44" i="4" s="1"/>
  <c r="AI44" i="4" s="1"/>
  <c r="AK33" i="4"/>
  <c r="AL33" i="4" s="1"/>
  <c r="AF33" i="4"/>
  <c r="AG33" i="4" s="1"/>
  <c r="AI33" i="4" s="1"/>
  <c r="AN33" i="4"/>
  <c r="BJ277" i="5"/>
  <c r="BK277" i="5"/>
  <c r="BJ445" i="5"/>
  <c r="BK445" i="5"/>
  <c r="AR500" i="5"/>
  <c r="BI500" i="5"/>
  <c r="AQ500" i="5"/>
  <c r="AQ127" i="5"/>
  <c r="BI127" i="5"/>
  <c r="AR127" i="5"/>
  <c r="BJ532" i="5"/>
  <c r="BK532" i="5"/>
  <c r="BK465" i="5"/>
  <c r="BJ465" i="5"/>
  <c r="BJ265" i="5"/>
  <c r="BK265" i="5"/>
  <c r="BK194" i="5"/>
  <c r="BJ194" i="5"/>
  <c r="AK107" i="4"/>
  <c r="AL107" i="4" s="1"/>
  <c r="AN107" i="4"/>
  <c r="AF107" i="4"/>
  <c r="AG107" i="4" s="1"/>
  <c r="AI107" i="4" s="1"/>
  <c r="AN11" i="4"/>
  <c r="AK11" i="4"/>
  <c r="AL11" i="4" s="1"/>
  <c r="AF11" i="4"/>
  <c r="AG11" i="4" s="1"/>
  <c r="AI11" i="4" s="1"/>
  <c r="AN18" i="4"/>
  <c r="AF18" i="4"/>
  <c r="AG18" i="4" s="1"/>
  <c r="AI18" i="4" s="1"/>
  <c r="AK18" i="4"/>
  <c r="AL18" i="4" s="1"/>
  <c r="AN19" i="4"/>
  <c r="AK19" i="4"/>
  <c r="AL19" i="4" s="1"/>
  <c r="AF19" i="4"/>
  <c r="AG19" i="4" s="1"/>
  <c r="AI19" i="4" s="1"/>
  <c r="AF7" i="4"/>
  <c r="AG7" i="4" s="1"/>
  <c r="AI7" i="4" s="1"/>
  <c r="AN7" i="4"/>
  <c r="AK7" i="4"/>
  <c r="AL7" i="4" s="1"/>
  <c r="AK83" i="4"/>
  <c r="AL83" i="4" s="1"/>
  <c r="AN83" i="4"/>
  <c r="AF83" i="4"/>
  <c r="AG83" i="4" s="1"/>
  <c r="AI83" i="4" s="1"/>
  <c r="AQ126" i="4"/>
  <c r="AC126" i="4"/>
  <c r="AD126" i="4" s="1"/>
  <c r="AP126" i="4"/>
  <c r="AR9" i="5"/>
  <c r="AQ9" i="5"/>
  <c r="BI9" i="5"/>
  <c r="BK56" i="5"/>
  <c r="BJ56" i="5"/>
  <c r="BJ461" i="5"/>
  <c r="BK461" i="5"/>
  <c r="BK360" i="5"/>
  <c r="BJ360" i="5"/>
  <c r="BJ430" i="5"/>
  <c r="BK430" i="5"/>
  <c r="BK295" i="5"/>
  <c r="BJ295" i="5"/>
  <c r="AQ267" i="5"/>
  <c r="BI267" i="5"/>
  <c r="AR267" i="5"/>
  <c r="BK128" i="5"/>
  <c r="BJ128" i="5"/>
  <c r="AQ72" i="4"/>
  <c r="AP72" i="4"/>
  <c r="AC72" i="4"/>
  <c r="AD72" i="4" s="1"/>
  <c r="AQ36" i="4"/>
  <c r="AP36" i="4"/>
  <c r="AC36" i="4"/>
  <c r="AD36" i="4" s="1"/>
  <c r="AN131" i="4"/>
  <c r="AK131" i="4"/>
  <c r="AL131" i="4" s="1"/>
  <c r="AF131" i="4"/>
  <c r="AG131" i="4" s="1"/>
  <c r="AI131" i="4" s="1"/>
  <c r="AK73" i="4"/>
  <c r="AL73" i="4" s="1"/>
  <c r="AN73" i="4"/>
  <c r="AF73" i="4"/>
  <c r="AG73" i="4" s="1"/>
  <c r="AI73" i="4" s="1"/>
  <c r="AN49" i="4"/>
  <c r="AK49" i="4"/>
  <c r="AL49" i="4" s="1"/>
  <c r="AF49" i="4"/>
  <c r="AG49" i="4" s="1"/>
  <c r="AI49" i="4" s="1"/>
  <c r="AQ71" i="4"/>
  <c r="AP71" i="4"/>
  <c r="AC71" i="4"/>
  <c r="AD71" i="4" s="1"/>
  <c r="BJ513" i="5"/>
  <c r="BK513" i="5"/>
  <c r="AR77" i="5"/>
  <c r="AQ77" i="5"/>
  <c r="BI77" i="5"/>
  <c r="BK55" i="5"/>
  <c r="BJ55" i="5"/>
  <c r="BJ89" i="5"/>
  <c r="BK89" i="5"/>
  <c r="BK467" i="5"/>
  <c r="BJ467" i="5"/>
  <c r="BK401" i="5"/>
  <c r="BJ401" i="5"/>
  <c r="BJ506" i="5"/>
  <c r="BK506" i="5"/>
  <c r="BJ361" i="5"/>
  <c r="BK361" i="5"/>
  <c r="BJ110" i="5"/>
  <c r="BK110" i="5"/>
  <c r="BK20" i="5"/>
  <c r="BJ20" i="5"/>
  <c r="BK520" i="5"/>
  <c r="BJ520" i="5"/>
  <c r="AR416" i="5"/>
  <c r="BI416" i="5"/>
  <c r="AQ416" i="5"/>
  <c r="BJ51" i="5"/>
  <c r="BK51" i="5"/>
  <c r="BJ88" i="5"/>
  <c r="BK88" i="5"/>
  <c r="BK60" i="5"/>
  <c r="BJ60" i="5"/>
  <c r="BK92" i="5"/>
  <c r="BJ92" i="5"/>
  <c r="BK398" i="5"/>
  <c r="BJ398" i="5"/>
  <c r="BK354" i="5"/>
  <c r="BJ354" i="5"/>
  <c r="BK270" i="5"/>
  <c r="BJ270" i="5"/>
  <c r="BJ215" i="5"/>
  <c r="BK215" i="5"/>
  <c r="BJ224" i="5"/>
  <c r="BK224" i="5"/>
  <c r="BK482" i="5"/>
  <c r="BJ482" i="5"/>
  <c r="BJ559" i="5"/>
  <c r="BK559" i="5"/>
  <c r="AN146" i="4"/>
  <c r="AK146" i="4"/>
  <c r="AL146" i="4" s="1"/>
  <c r="AF146" i="4"/>
  <c r="AG146" i="4" s="1"/>
  <c r="AI146" i="4" s="1"/>
  <c r="AP64" i="4"/>
  <c r="AQ64" i="4"/>
  <c r="AC64" i="4"/>
  <c r="AD64" i="4" s="1"/>
  <c r="AP37" i="4"/>
  <c r="AC37" i="4"/>
  <c r="AD37" i="4" s="1"/>
  <c r="AQ37" i="4"/>
  <c r="AP68" i="4"/>
  <c r="AC68" i="4"/>
  <c r="AD68" i="4" s="1"/>
  <c r="AQ68" i="4"/>
  <c r="AK130" i="4"/>
  <c r="AL130" i="4" s="1"/>
  <c r="AN130" i="4"/>
  <c r="AF130" i="4"/>
  <c r="AG130" i="4" s="1"/>
  <c r="AI130" i="4" s="1"/>
  <c r="AN20" i="4"/>
  <c r="AF20" i="4"/>
  <c r="AG20" i="4" s="1"/>
  <c r="AI20" i="4" s="1"/>
  <c r="AK20" i="4"/>
  <c r="AL20" i="4" s="1"/>
  <c r="AN88" i="4"/>
  <c r="AK88" i="4"/>
  <c r="AL88" i="4" s="1"/>
  <c r="AF88" i="4"/>
  <c r="AG88" i="4" s="1"/>
  <c r="AI88" i="4" s="1"/>
  <c r="AQ70" i="4"/>
  <c r="AP70" i="4"/>
  <c r="AC70" i="4"/>
  <c r="AD70" i="4" s="1"/>
  <c r="AQ150" i="4"/>
  <c r="AP150" i="4"/>
  <c r="AC150" i="4"/>
  <c r="AD150" i="4" s="1"/>
  <c r="BJ39" i="5"/>
  <c r="BK39" i="5"/>
  <c r="BK309" i="5"/>
  <c r="BJ309" i="5"/>
  <c r="BJ438" i="5"/>
  <c r="BK438" i="5"/>
  <c r="BJ405" i="5"/>
  <c r="BK405" i="5"/>
  <c r="BK36" i="5"/>
  <c r="BJ36" i="5"/>
  <c r="BJ46" i="5"/>
  <c r="BK46" i="5"/>
  <c r="BK447" i="5"/>
  <c r="BJ447" i="5"/>
  <c r="BK453" i="5"/>
  <c r="BJ453" i="5"/>
  <c r="BJ428" i="5"/>
  <c r="BK439" i="5"/>
  <c r="BJ439" i="5"/>
  <c r="BJ191" i="5"/>
  <c r="BK191" i="5"/>
  <c r="BJ143" i="5"/>
  <c r="BK143" i="5"/>
  <c r="BJ369" i="5"/>
  <c r="BK369" i="5"/>
  <c r="BJ338" i="5"/>
  <c r="BK338" i="5"/>
  <c r="BK67" i="5"/>
  <c r="BJ67" i="5"/>
  <c r="BK466" i="5"/>
  <c r="BJ466" i="5"/>
  <c r="BK508" i="5"/>
  <c r="BJ508" i="5"/>
  <c r="BK81" i="5"/>
  <c r="BJ81" i="5"/>
  <c r="BK407" i="5"/>
  <c r="BJ407" i="5"/>
  <c r="AR84" i="5"/>
  <c r="BI84" i="5"/>
  <c r="AQ84" i="5"/>
  <c r="BK378" i="5"/>
  <c r="BJ378" i="5"/>
  <c r="BJ228" i="5"/>
  <c r="BK228" i="5"/>
  <c r="BJ49" i="5"/>
  <c r="BK49" i="5"/>
  <c r="R179" i="5"/>
  <c r="S179" i="5"/>
  <c r="S35" i="5"/>
  <c r="R35" i="5"/>
  <c r="S550" i="5"/>
  <c r="R550" i="5"/>
  <c r="R375" i="5"/>
  <c r="S375" i="5"/>
  <c r="S264" i="5"/>
  <c r="R264" i="5"/>
  <c r="S265" i="5"/>
  <c r="R265" i="5"/>
  <c r="R323" i="5"/>
  <c r="S323" i="5"/>
  <c r="R369" i="5"/>
  <c r="S369" i="5"/>
  <c r="S373" i="5"/>
  <c r="R373" i="5"/>
  <c r="S109" i="5"/>
  <c r="R109" i="5"/>
  <c r="S56" i="5"/>
  <c r="R56" i="5"/>
  <c r="S141" i="5"/>
  <c r="R141" i="5"/>
  <c r="S80" i="5"/>
  <c r="R80" i="5"/>
  <c r="R121" i="5"/>
  <c r="S121" i="5"/>
  <c r="R25" i="5"/>
  <c r="S25" i="5"/>
  <c r="R36" i="5"/>
  <c r="S36" i="5"/>
  <c r="R47" i="5"/>
  <c r="S47" i="5"/>
  <c r="R102" i="5"/>
  <c r="S102" i="5"/>
  <c r="R299" i="5"/>
  <c r="S299" i="5"/>
  <c r="S520" i="5"/>
  <c r="R520" i="5"/>
  <c r="R507" i="5"/>
  <c r="S507" i="5"/>
  <c r="R234" i="5"/>
  <c r="S234" i="5"/>
  <c r="R57" i="5"/>
  <c r="S57" i="5"/>
  <c r="R413" i="5"/>
  <c r="S413" i="5"/>
  <c r="S181" i="5"/>
  <c r="R181" i="5"/>
  <c r="R398" i="5"/>
  <c r="S398" i="5"/>
  <c r="R138" i="5"/>
  <c r="S138" i="5"/>
  <c r="R559" i="5"/>
  <c r="S559" i="5"/>
  <c r="R21" i="5"/>
  <c r="S21" i="5"/>
  <c r="R98" i="5"/>
  <c r="S98" i="5"/>
  <c r="S425" i="5"/>
  <c r="R425" i="5"/>
  <c r="S544" i="5"/>
  <c r="R544" i="5"/>
  <c r="S560" i="5"/>
  <c r="R560" i="5"/>
  <c r="S145" i="5"/>
  <c r="R145" i="5"/>
  <c r="R335" i="5"/>
  <c r="S335" i="5"/>
  <c r="R280" i="5"/>
  <c r="S280" i="5"/>
  <c r="S22" i="5"/>
  <c r="R22" i="5"/>
  <c r="R510" i="5"/>
  <c r="S510" i="5"/>
  <c r="R355" i="5"/>
  <c r="S355" i="5"/>
  <c r="S271" i="5"/>
  <c r="R271" i="5"/>
  <c r="R127" i="5"/>
  <c r="S127" i="5"/>
  <c r="S152" i="5"/>
  <c r="R152" i="5"/>
  <c r="R313" i="5"/>
  <c r="S313" i="5"/>
  <c r="R521" i="5"/>
  <c r="S521" i="5"/>
  <c r="R490" i="5"/>
  <c r="S490" i="5"/>
  <c r="R450" i="5"/>
  <c r="S450" i="5"/>
  <c r="R532" i="5"/>
  <c r="S532" i="5"/>
  <c r="S268" i="5"/>
  <c r="R268" i="5"/>
  <c r="S276" i="5"/>
  <c r="R276" i="5"/>
  <c r="R337" i="5"/>
  <c r="S337" i="5"/>
  <c r="R468" i="5"/>
  <c r="S468" i="5"/>
  <c r="S426" i="5"/>
  <c r="R426" i="5"/>
  <c r="R475" i="5"/>
  <c r="S475" i="5"/>
  <c r="S174" i="5"/>
  <c r="R174" i="5"/>
  <c r="S482" i="5"/>
  <c r="R482" i="5"/>
  <c r="S76" i="5"/>
  <c r="R76" i="5"/>
  <c r="S445" i="5"/>
  <c r="R445" i="5"/>
  <c r="R115" i="5"/>
  <c r="S115" i="5"/>
  <c r="R341" i="5"/>
  <c r="S341" i="5"/>
  <c r="S374" i="5"/>
  <c r="R374" i="5"/>
  <c r="S290" i="5"/>
  <c r="R290" i="5"/>
  <c r="S487" i="5"/>
  <c r="R487" i="5"/>
  <c r="S247" i="5"/>
  <c r="R247" i="5"/>
  <c r="S558" i="5"/>
  <c r="R558" i="5"/>
  <c r="S345" i="5"/>
  <c r="R345" i="5"/>
  <c r="R330" i="5"/>
  <c r="S330" i="5"/>
  <c r="R371" i="5"/>
  <c r="S371" i="5"/>
  <c r="S75" i="5"/>
  <c r="R75" i="5"/>
  <c r="R483" i="5"/>
  <c r="S483" i="5"/>
  <c r="R523" i="5"/>
  <c r="S523" i="5"/>
  <c r="R474" i="5"/>
  <c r="S474" i="5"/>
  <c r="R229" i="5"/>
  <c r="S229" i="5"/>
  <c r="R549" i="5"/>
  <c r="S549" i="5"/>
  <c r="S479" i="5"/>
  <c r="R479" i="5"/>
  <c r="S372" i="5"/>
  <c r="R372" i="5"/>
  <c r="R95" i="5"/>
  <c r="S95" i="5"/>
  <c r="R255" i="5"/>
  <c r="S255" i="5"/>
  <c r="R384" i="5"/>
  <c r="S384" i="5"/>
  <c r="R155" i="5"/>
  <c r="S155" i="5"/>
  <c r="S496" i="5"/>
  <c r="R496" i="5"/>
  <c r="R278" i="5"/>
  <c r="S278" i="5"/>
  <c r="R368" i="5"/>
  <c r="S368" i="5"/>
  <c r="S40" i="5"/>
  <c r="R40" i="5"/>
  <c r="S453" i="5"/>
  <c r="R453" i="5"/>
  <c r="S44" i="5"/>
  <c r="R44" i="5"/>
  <c r="R309" i="5"/>
  <c r="S309" i="5"/>
  <c r="S334" i="5"/>
  <c r="R334" i="5"/>
  <c r="R202" i="5"/>
  <c r="S202" i="5"/>
  <c r="S61" i="5"/>
  <c r="R61" i="5"/>
  <c r="R46" i="5"/>
  <c r="S46" i="5"/>
  <c r="S396" i="5"/>
  <c r="R396" i="5"/>
  <c r="S157" i="5"/>
  <c r="R157" i="5"/>
  <c r="R480" i="5"/>
  <c r="S480" i="5"/>
  <c r="S279" i="5"/>
  <c r="R279" i="5"/>
  <c r="R351" i="5"/>
  <c r="S351" i="5"/>
  <c r="R64" i="5"/>
  <c r="S64" i="5"/>
  <c r="R505" i="5"/>
  <c r="S505" i="5"/>
  <c r="S515" i="5"/>
  <c r="R515" i="5"/>
  <c r="S29" i="5"/>
  <c r="R29" i="5"/>
  <c r="R266" i="5"/>
  <c r="S266" i="5"/>
  <c r="R530" i="5"/>
  <c r="S530" i="5"/>
  <c r="S333" i="5"/>
  <c r="R333" i="5"/>
  <c r="S538" i="5"/>
  <c r="R538" i="5"/>
  <c r="R359" i="5"/>
  <c r="S359" i="5"/>
  <c r="S39" i="5"/>
  <c r="R39" i="5"/>
  <c r="R110" i="5"/>
  <c r="S110" i="5"/>
  <c r="S356" i="5"/>
  <c r="R356" i="5"/>
  <c r="S99" i="5"/>
  <c r="R99" i="5"/>
  <c r="R301" i="5"/>
  <c r="S301" i="5"/>
  <c r="S212" i="5"/>
  <c r="R212" i="5"/>
  <c r="S273" i="5"/>
  <c r="R273" i="5"/>
  <c r="R238" i="5"/>
  <c r="S238" i="5"/>
  <c r="R246" i="5"/>
  <c r="S246" i="5"/>
  <c r="R283" i="5"/>
  <c r="S283" i="5"/>
  <c r="R24" i="5"/>
  <c r="S24" i="5"/>
  <c r="R390" i="5"/>
  <c r="S390" i="5"/>
  <c r="S113" i="5"/>
  <c r="R113" i="5"/>
  <c r="R12" i="5"/>
  <c r="S12" i="5"/>
  <c r="R466" i="5"/>
  <c r="S466" i="5"/>
  <c r="R156" i="5"/>
  <c r="S156" i="5"/>
  <c r="S81" i="5"/>
  <c r="R81" i="5"/>
  <c r="S363" i="5"/>
  <c r="R363" i="5"/>
  <c r="S452" i="5"/>
  <c r="R452" i="5"/>
  <c r="S451" i="5"/>
  <c r="R451" i="5"/>
  <c r="S244" i="5"/>
  <c r="R244" i="5"/>
  <c r="R134" i="5"/>
  <c r="S134" i="5"/>
  <c r="S386" i="5"/>
  <c r="R386" i="5"/>
  <c r="S442" i="5"/>
  <c r="R442" i="5"/>
  <c r="R281" i="5"/>
  <c r="S281" i="5"/>
  <c r="R233" i="5"/>
  <c r="S233" i="5"/>
  <c r="R488" i="5"/>
  <c r="S488" i="5"/>
  <c r="R131" i="5"/>
  <c r="S131" i="5"/>
  <c r="R292" i="5"/>
  <c r="S292" i="5"/>
  <c r="S45" i="5"/>
  <c r="R45" i="5"/>
  <c r="R402" i="5"/>
  <c r="S402" i="5"/>
  <c r="R464" i="5"/>
  <c r="S464" i="5"/>
  <c r="R154" i="5"/>
  <c r="S154" i="5"/>
  <c r="BK556" i="5"/>
  <c r="BJ556" i="5"/>
  <c r="AK99" i="4"/>
  <c r="AL99" i="4" s="1"/>
  <c r="AF99" i="4"/>
  <c r="AG99" i="4" s="1"/>
  <c r="AI99" i="4" s="1"/>
  <c r="AN99" i="4"/>
  <c r="AP91" i="4"/>
  <c r="AQ91" i="4"/>
  <c r="AC91" i="4"/>
  <c r="AD91" i="4" s="1"/>
  <c r="AP53" i="4"/>
  <c r="AQ53" i="4"/>
  <c r="AC53" i="4"/>
  <c r="AD53" i="4" s="1"/>
  <c r="AK48" i="4"/>
  <c r="AL48" i="4" s="1"/>
  <c r="AN48" i="4"/>
  <c r="AF48" i="4"/>
  <c r="AG48" i="4" s="1"/>
  <c r="AI48" i="4" s="1"/>
  <c r="AP48" i="4"/>
  <c r="AQ48" i="4"/>
  <c r="AC48" i="4"/>
  <c r="AD48" i="4" s="1"/>
  <c r="AC129" i="5"/>
  <c r="AC249" i="5"/>
  <c r="AC167" i="5"/>
  <c r="AC170" i="5"/>
  <c r="AC527" i="5"/>
  <c r="AC315" i="5"/>
  <c r="AN147" i="4"/>
  <c r="AK147" i="4"/>
  <c r="AL147" i="4" s="1"/>
  <c r="AF147" i="4"/>
  <c r="AG147" i="4" s="1"/>
  <c r="AI147" i="4" s="1"/>
  <c r="AQ44" i="4"/>
  <c r="AP44" i="4"/>
  <c r="AC44" i="4"/>
  <c r="AD44" i="4" s="1"/>
  <c r="BK395" i="5"/>
  <c r="BJ395" i="5"/>
  <c r="BK342" i="5"/>
  <c r="BJ342" i="5"/>
  <c r="BK29" i="5"/>
  <c r="BJ29" i="5"/>
  <c r="BJ139" i="5"/>
  <c r="BK139" i="5"/>
  <c r="BK172" i="5"/>
  <c r="BJ172" i="5"/>
  <c r="BK85" i="5"/>
  <c r="BJ85" i="5"/>
  <c r="BJ550" i="5"/>
  <c r="BK550" i="5"/>
  <c r="BK93" i="5"/>
  <c r="BJ93" i="5"/>
  <c r="BJ133" i="5"/>
  <c r="BK133" i="5"/>
  <c r="AP107" i="4"/>
  <c r="AQ107" i="4"/>
  <c r="AC107" i="4"/>
  <c r="AD107" i="4" s="1"/>
  <c r="AN86" i="4"/>
  <c r="AK86" i="4"/>
  <c r="AL86" i="4" s="1"/>
  <c r="AF86" i="4"/>
  <c r="AG86" i="4" s="1"/>
  <c r="AI86" i="4" s="1"/>
  <c r="AN132" i="4"/>
  <c r="AK132" i="4"/>
  <c r="AL132" i="4" s="1"/>
  <c r="AF132" i="4"/>
  <c r="AG132" i="4" s="1"/>
  <c r="AI132" i="4" s="1"/>
  <c r="AQ17" i="4"/>
  <c r="AC17" i="4"/>
  <c r="AD17" i="4" s="1"/>
  <c r="AP17" i="4"/>
  <c r="AK52" i="4"/>
  <c r="AL52" i="4" s="1"/>
  <c r="AN52" i="4"/>
  <c r="AF52" i="4"/>
  <c r="AG52" i="4" s="1"/>
  <c r="AI52" i="4" s="1"/>
  <c r="AQ52" i="4"/>
  <c r="AP52" i="4"/>
  <c r="AC52" i="4"/>
  <c r="AD52" i="4" s="1"/>
  <c r="AK154" i="4"/>
  <c r="AL154" i="4" s="1"/>
  <c r="AF154" i="4"/>
  <c r="AG154" i="4" s="1"/>
  <c r="AI154" i="4" s="1"/>
  <c r="AN154" i="4"/>
  <c r="AP125" i="4"/>
  <c r="AQ125" i="4"/>
  <c r="AC125" i="4"/>
  <c r="AD125" i="4" s="1"/>
  <c r="AF22" i="4"/>
  <c r="AG22" i="4" s="1"/>
  <c r="AI22" i="4" s="1"/>
  <c r="AK22" i="4"/>
  <c r="AL22" i="4" s="1"/>
  <c r="AN22" i="4"/>
  <c r="AQ40" i="4"/>
  <c r="AP40" i="4"/>
  <c r="AC40" i="4"/>
  <c r="AD40" i="4" s="1"/>
  <c r="AP127" i="4"/>
  <c r="AQ127" i="4"/>
  <c r="AC127" i="4"/>
  <c r="AD127" i="4" s="1"/>
  <c r="AK38" i="4"/>
  <c r="AL38" i="4" s="1"/>
  <c r="AN38" i="4"/>
  <c r="AF38" i="4"/>
  <c r="AG38" i="4" s="1"/>
  <c r="AI38" i="4" s="1"/>
  <c r="AQ145" i="4"/>
  <c r="AR497" i="5"/>
  <c r="BI497" i="5"/>
  <c r="AQ497" i="5"/>
  <c r="AQ33" i="5"/>
  <c r="BI33" i="5"/>
  <c r="AR33" i="5"/>
  <c r="BK292" i="5"/>
  <c r="BJ292" i="5"/>
  <c r="BK177" i="5"/>
  <c r="BJ177" i="5"/>
  <c r="BJ205" i="5"/>
  <c r="BK205" i="5"/>
  <c r="BK370" i="5"/>
  <c r="BJ370" i="5"/>
  <c r="BJ140" i="5"/>
  <c r="BK140" i="5"/>
  <c r="AK72" i="4"/>
  <c r="AL72" i="4" s="1"/>
  <c r="AN72" i="4"/>
  <c r="AF72" i="4"/>
  <c r="AG72" i="4" s="1"/>
  <c r="AI72" i="4" s="1"/>
  <c r="AQ42" i="4"/>
  <c r="AP42" i="4"/>
  <c r="AC42" i="4"/>
  <c r="AD42" i="4" s="1"/>
  <c r="AF14" i="4"/>
  <c r="AG14" i="4" s="1"/>
  <c r="AI14" i="4" s="1"/>
  <c r="AK14" i="4"/>
  <c r="AL14" i="4" s="1"/>
  <c r="AN14" i="4"/>
  <c r="AN23" i="4"/>
  <c r="AK23" i="4"/>
  <c r="AL23" i="4" s="1"/>
  <c r="AF23" i="4"/>
  <c r="AG23" i="4" s="1"/>
  <c r="AI23" i="4" s="1"/>
  <c r="AK153" i="4"/>
  <c r="AL153" i="4" s="1"/>
  <c r="AN153" i="4"/>
  <c r="AF153" i="4"/>
  <c r="AG153" i="4" s="1"/>
  <c r="AI153" i="4" s="1"/>
  <c r="AK58" i="4"/>
  <c r="AL58" i="4" s="1"/>
  <c r="AN58" i="4"/>
  <c r="AF58" i="4"/>
  <c r="AG58" i="4" s="1"/>
  <c r="AI58" i="4" s="1"/>
  <c r="AK123" i="4"/>
  <c r="AL123" i="4" s="1"/>
  <c r="AN26" i="4"/>
  <c r="AK26" i="4"/>
  <c r="AL26" i="4" s="1"/>
  <c r="AF26" i="4"/>
  <c r="AG26" i="4" s="1"/>
  <c r="AI26" i="4" s="1"/>
  <c r="AQ73" i="4"/>
  <c r="AP73" i="4"/>
  <c r="AC73" i="4"/>
  <c r="AD73" i="4" s="1"/>
  <c r="AK157" i="4"/>
  <c r="AL157" i="4" s="1"/>
  <c r="AN157" i="4"/>
  <c r="AF157" i="4"/>
  <c r="AG157" i="4" s="1"/>
  <c r="AI157" i="4" s="1"/>
  <c r="BK414" i="5"/>
  <c r="BJ414" i="5"/>
  <c r="BK517" i="5"/>
  <c r="BJ517" i="5"/>
  <c r="BK281" i="5"/>
  <c r="BJ281" i="5"/>
  <c r="BJ138" i="5"/>
  <c r="BK138" i="5"/>
  <c r="BJ443" i="5"/>
  <c r="BK443" i="5"/>
  <c r="BJ510" i="5"/>
  <c r="BK510" i="5"/>
  <c r="BK435" i="5"/>
  <c r="BJ435" i="5"/>
  <c r="BK319" i="5"/>
  <c r="BJ478" i="5"/>
  <c r="BK478" i="5"/>
  <c r="BJ48" i="5"/>
  <c r="BK48" i="5"/>
  <c r="BJ558" i="5"/>
  <c r="BK558" i="5"/>
  <c r="BJ434" i="5"/>
  <c r="BK434" i="5"/>
  <c r="BJ474" i="5"/>
  <c r="BK474" i="5"/>
  <c r="BJ388" i="5"/>
  <c r="BK388" i="5"/>
  <c r="BK246" i="5"/>
  <c r="BJ246" i="5"/>
  <c r="AQ209" i="5"/>
  <c r="AR209" i="5"/>
  <c r="BI209" i="5"/>
  <c r="AR13" i="5"/>
  <c r="BI13" i="5"/>
  <c r="AQ13" i="5"/>
  <c r="BK491" i="5"/>
  <c r="BJ491" i="5"/>
  <c r="BK262" i="5"/>
  <c r="BJ262" i="5"/>
  <c r="BK53" i="5"/>
  <c r="BJ53" i="5"/>
  <c r="BK75" i="5"/>
  <c r="BJ75" i="5"/>
  <c r="BK521" i="5"/>
  <c r="BJ521" i="5"/>
  <c r="BJ484" i="5"/>
  <c r="BK484" i="5"/>
  <c r="BK297" i="5"/>
  <c r="BJ297" i="5"/>
  <c r="BK165" i="5"/>
  <c r="BJ165" i="5"/>
  <c r="BK413" i="5"/>
  <c r="BJ413" i="5"/>
  <c r="BJ552" i="5"/>
  <c r="BK552" i="5"/>
  <c r="BK298" i="5"/>
  <c r="BJ298" i="5"/>
  <c r="BJ541" i="5"/>
  <c r="BK541" i="5"/>
  <c r="BJ192" i="5"/>
  <c r="BK192" i="5"/>
  <c r="BJ35" i="5"/>
  <c r="BK35" i="5"/>
  <c r="BJ509" i="5"/>
  <c r="BK509" i="5"/>
  <c r="BJ144" i="5"/>
  <c r="BK144" i="5"/>
  <c r="BK379" i="5"/>
  <c r="BJ379" i="5"/>
  <c r="BK340" i="5"/>
  <c r="BJ340" i="5"/>
  <c r="BK285" i="5"/>
  <c r="BJ285" i="5"/>
  <c r="BJ202" i="5"/>
  <c r="BK202" i="5"/>
  <c r="BJ420" i="5"/>
  <c r="BK420" i="5"/>
  <c r="AN34" i="4"/>
  <c r="AK34" i="4"/>
  <c r="AL34" i="4" s="1"/>
  <c r="AF34" i="4"/>
  <c r="AG34" i="4" s="1"/>
  <c r="AI34" i="4" s="1"/>
  <c r="AQ41" i="4"/>
  <c r="AP41" i="4"/>
  <c r="AC41" i="4"/>
  <c r="AD41" i="4" s="1"/>
  <c r="AQ56" i="4"/>
  <c r="AP56" i="4"/>
  <c r="AC56" i="4"/>
  <c r="AD56" i="4" s="1"/>
  <c r="AQ39" i="4"/>
  <c r="AC39" i="4"/>
  <c r="AD39" i="4" s="1"/>
  <c r="AP39" i="4"/>
  <c r="AP43" i="4"/>
  <c r="AQ43" i="4"/>
  <c r="AC43" i="4"/>
  <c r="AD43" i="4" s="1"/>
  <c r="AQ88" i="4"/>
  <c r="AP88" i="4"/>
  <c r="AC88" i="4"/>
  <c r="AD88" i="4" s="1"/>
  <c r="AN150" i="4"/>
  <c r="AK150" i="4"/>
  <c r="AL150" i="4" s="1"/>
  <c r="AF150" i="4"/>
  <c r="AG150" i="4" s="1"/>
  <c r="AI150" i="4" s="1"/>
  <c r="BJ345" i="5"/>
  <c r="BK345" i="5"/>
  <c r="BK375" i="5"/>
  <c r="BJ375" i="5"/>
  <c r="BK242" i="5"/>
  <c r="BJ242" i="5"/>
  <c r="BK480" i="5"/>
  <c r="BJ480" i="5"/>
  <c r="BI73" i="5"/>
  <c r="AQ73" i="5"/>
  <c r="AR73" i="5"/>
  <c r="BK547" i="5"/>
  <c r="BJ547" i="5"/>
  <c r="BK283" i="5"/>
  <c r="BJ283" i="5"/>
  <c r="BJ126" i="5"/>
  <c r="BK126" i="5"/>
  <c r="AR151" i="5"/>
  <c r="BI151" i="5"/>
  <c r="AQ151" i="5"/>
  <c r="BJ114" i="5"/>
  <c r="BK114" i="5"/>
  <c r="BJ294" i="5"/>
  <c r="BK294" i="5"/>
  <c r="BK423" i="5"/>
  <c r="BJ423" i="5"/>
  <c r="BJ410" i="5"/>
  <c r="BK410" i="5"/>
  <c r="BJ137" i="5"/>
  <c r="BK137" i="5"/>
  <c r="BK259" i="5"/>
  <c r="BJ259" i="5"/>
  <c r="AQ219" i="5"/>
  <c r="BI219" i="5"/>
  <c r="AR219" i="5"/>
  <c r="BK44" i="5"/>
  <c r="BJ44" i="5"/>
  <c r="BK468" i="5"/>
  <c r="BJ468" i="5"/>
  <c r="BK373" i="5"/>
  <c r="BJ373" i="5"/>
  <c r="BJ530" i="5"/>
  <c r="BK530" i="5"/>
  <c r="BJ25" i="5"/>
  <c r="BK25" i="5"/>
  <c r="BK293" i="5"/>
  <c r="BJ293" i="5"/>
  <c r="BK514" i="5"/>
  <c r="BJ514" i="5"/>
  <c r="BJ149" i="5"/>
  <c r="BK149" i="5"/>
  <c r="BK382" i="5"/>
  <c r="BJ382" i="5"/>
  <c r="S311" i="5"/>
  <c r="R311" i="5"/>
  <c r="R183" i="5"/>
  <c r="S183" i="5"/>
  <c r="R13" i="5"/>
  <c r="S13" i="5"/>
  <c r="S302" i="5"/>
  <c r="R302" i="5"/>
  <c r="S242" i="5"/>
  <c r="R242" i="5"/>
  <c r="R367" i="5"/>
  <c r="S367" i="5"/>
  <c r="R118" i="5"/>
  <c r="S118" i="5"/>
  <c r="R423" i="5"/>
  <c r="S423" i="5"/>
  <c r="R256" i="5"/>
  <c r="S256" i="5"/>
  <c r="S182" i="5"/>
  <c r="R182" i="5"/>
  <c r="R555" i="5"/>
  <c r="S555" i="5"/>
  <c r="R394" i="5"/>
  <c r="S394" i="5"/>
  <c r="R331" i="5"/>
  <c r="S331" i="5"/>
  <c r="R267" i="5"/>
  <c r="S267" i="5"/>
  <c r="S557" i="5"/>
  <c r="R557" i="5"/>
  <c r="S105" i="5"/>
  <c r="R105" i="5"/>
  <c r="S512" i="5"/>
  <c r="R512" i="5"/>
  <c r="S357" i="5"/>
  <c r="R357" i="5"/>
  <c r="R435" i="5"/>
  <c r="S435" i="5"/>
  <c r="R209" i="5"/>
  <c r="S209" i="5"/>
  <c r="R201" i="5"/>
  <c r="S201" i="5"/>
  <c r="R441" i="5"/>
  <c r="S441" i="5"/>
  <c r="R415" i="5"/>
  <c r="S415" i="5"/>
  <c r="S68" i="5"/>
  <c r="R68" i="5"/>
  <c r="R514" i="5"/>
  <c r="S514" i="5"/>
  <c r="S225" i="5"/>
  <c r="R225" i="5"/>
  <c r="S190" i="5"/>
  <c r="R190" i="5"/>
  <c r="S537" i="5"/>
  <c r="R537" i="5"/>
  <c r="R500" i="5"/>
  <c r="S500" i="5"/>
  <c r="S319" i="5"/>
  <c r="R319" i="5"/>
  <c r="R193" i="5"/>
  <c r="S193" i="5"/>
  <c r="R295" i="5"/>
  <c r="S295" i="5"/>
  <c r="S142" i="5"/>
  <c r="R142" i="5"/>
  <c r="S169" i="5"/>
  <c r="R169" i="5"/>
  <c r="S516" i="5"/>
  <c r="R516" i="5"/>
  <c r="S457" i="5"/>
  <c r="R457" i="5"/>
  <c r="S481" i="5"/>
  <c r="R481" i="5"/>
  <c r="R221" i="5"/>
  <c r="S221" i="5"/>
  <c r="S227" i="5"/>
  <c r="R227" i="5"/>
  <c r="S439" i="5"/>
  <c r="R439" i="5"/>
  <c r="S395" i="5"/>
  <c r="R395" i="5"/>
  <c r="R148" i="5"/>
  <c r="S148" i="5"/>
  <c r="S90" i="5"/>
  <c r="R90" i="5"/>
  <c r="R447" i="5"/>
  <c r="S447" i="5"/>
  <c r="S360" i="5"/>
  <c r="R360" i="5"/>
  <c r="S526" i="5"/>
  <c r="R526" i="5"/>
  <c r="S407" i="5"/>
  <c r="R407" i="5"/>
  <c r="R405" i="5"/>
  <c r="S405" i="5"/>
  <c r="R42" i="5"/>
  <c r="S42" i="5"/>
  <c r="S436" i="5"/>
  <c r="R436" i="5"/>
  <c r="R186" i="5"/>
  <c r="S186" i="5"/>
  <c r="S165" i="5"/>
  <c r="R165" i="5"/>
  <c r="S294" i="5"/>
  <c r="R294" i="5"/>
  <c r="S170" i="5"/>
  <c r="R170" i="5"/>
  <c r="R284" i="5"/>
  <c r="S284" i="5"/>
  <c r="S30" i="5"/>
  <c r="R30" i="5"/>
  <c r="S551" i="5"/>
  <c r="R551" i="5"/>
  <c r="S449" i="5"/>
  <c r="R449" i="5"/>
  <c r="R485" i="5"/>
  <c r="S485" i="5"/>
  <c r="S54" i="5"/>
  <c r="R54" i="5"/>
  <c r="S92" i="5"/>
  <c r="R92" i="5"/>
  <c r="R365" i="5"/>
  <c r="S365" i="5"/>
  <c r="R208" i="5"/>
  <c r="S208" i="5"/>
  <c r="S43" i="5"/>
  <c r="R43" i="5"/>
  <c r="S139" i="5"/>
  <c r="R139" i="5"/>
  <c r="R524" i="5"/>
  <c r="S524" i="5"/>
  <c r="S275" i="5"/>
  <c r="R275" i="5"/>
  <c r="R245" i="5"/>
  <c r="S245" i="5"/>
  <c r="R470" i="5"/>
  <c r="S470" i="5"/>
  <c r="S554" i="5"/>
  <c r="R554" i="5"/>
  <c r="R136" i="5"/>
  <c r="S136" i="5"/>
  <c r="S236" i="5"/>
  <c r="R236" i="5"/>
  <c r="S397" i="5"/>
  <c r="R397" i="5"/>
  <c r="R277" i="5"/>
  <c r="S277" i="5"/>
  <c r="S167" i="5"/>
  <c r="R167" i="5"/>
  <c r="S332" i="5"/>
  <c r="R332" i="5"/>
  <c r="R347" i="5"/>
  <c r="S347" i="5"/>
  <c r="R176" i="5"/>
  <c r="S176" i="5"/>
  <c r="R291" i="5"/>
  <c r="S291" i="5"/>
  <c r="R159" i="5"/>
  <c r="S159" i="5"/>
  <c r="S185" i="5"/>
  <c r="R185" i="5"/>
  <c r="S263" i="5"/>
  <c r="R263" i="5"/>
  <c r="S88" i="5"/>
  <c r="R88" i="5"/>
  <c r="R499" i="5"/>
  <c r="S499" i="5"/>
  <c r="S28" i="5"/>
  <c r="R28" i="5"/>
  <c r="S219" i="5"/>
  <c r="R219" i="5"/>
  <c r="S300" i="5"/>
  <c r="R300" i="5"/>
  <c r="R288" i="5"/>
  <c r="S288" i="5"/>
  <c r="S344" i="5"/>
  <c r="R344" i="5"/>
  <c r="R78" i="5"/>
  <c r="S78" i="5"/>
  <c r="S8" i="5"/>
  <c r="R8" i="5"/>
  <c r="S541" i="5"/>
  <c r="R541" i="5"/>
  <c r="R387" i="5"/>
  <c r="S387" i="5"/>
  <c r="S428" i="5"/>
  <c r="R428" i="5"/>
  <c r="S543" i="5"/>
  <c r="R543" i="5"/>
  <c r="R114" i="5"/>
  <c r="S114" i="5"/>
  <c r="S382" i="5"/>
  <c r="R382" i="5"/>
  <c r="S438" i="5"/>
  <c r="R438" i="5"/>
  <c r="S518" i="5"/>
  <c r="R518" i="5"/>
  <c r="S293" i="5"/>
  <c r="R293" i="5"/>
  <c r="S326" i="5"/>
  <c r="R326" i="5"/>
  <c r="S463" i="5"/>
  <c r="R463" i="5"/>
  <c r="R207" i="5"/>
  <c r="S207" i="5"/>
  <c r="R336" i="5"/>
  <c r="S336" i="5"/>
  <c r="R132" i="5"/>
  <c r="S132" i="5"/>
  <c r="R62" i="5"/>
  <c r="S62" i="5"/>
  <c r="S321" i="5"/>
  <c r="R321" i="5"/>
  <c r="R327" i="5"/>
  <c r="S327" i="5"/>
  <c r="S215" i="5"/>
  <c r="R215" i="5"/>
  <c r="R272" i="5"/>
  <c r="S272" i="5"/>
  <c r="R96" i="5"/>
  <c r="S96" i="5"/>
  <c r="S513" i="5"/>
  <c r="R513" i="5"/>
  <c r="S217" i="5"/>
  <c r="R217" i="5"/>
  <c r="R161" i="5"/>
  <c r="S161" i="5"/>
  <c r="R547" i="5"/>
  <c r="S547" i="5"/>
  <c r="S322" i="5"/>
  <c r="R322" i="5"/>
  <c r="S70" i="5"/>
  <c r="R70" i="5"/>
  <c r="R89" i="5"/>
  <c r="S89" i="5"/>
  <c r="R458" i="5"/>
  <c r="S458" i="5"/>
  <c r="R317" i="5"/>
  <c r="S317" i="5"/>
  <c r="S286" i="5"/>
  <c r="R286" i="5"/>
  <c r="R173" i="5"/>
  <c r="S173" i="5"/>
  <c r="R517" i="5"/>
  <c r="S517" i="5"/>
  <c r="S117" i="5"/>
  <c r="R117" i="5"/>
  <c r="S33" i="5"/>
  <c r="R33" i="5"/>
  <c r="R534" i="5"/>
  <c r="S534" i="5"/>
  <c r="R194" i="5"/>
  <c r="S194" i="5"/>
  <c r="R285" i="5"/>
  <c r="S285" i="5"/>
  <c r="S214" i="5"/>
  <c r="R214" i="5"/>
  <c r="R455" i="5"/>
  <c r="S455" i="5"/>
  <c r="S79" i="5"/>
  <c r="R79" i="5"/>
  <c r="S339" i="5"/>
  <c r="R339" i="5"/>
  <c r="S325" i="5"/>
  <c r="R325" i="5"/>
  <c r="S404" i="5"/>
  <c r="R404" i="5"/>
  <c r="S424" i="5"/>
  <c r="R424" i="5"/>
  <c r="R385" i="5"/>
  <c r="S385" i="5"/>
  <c r="R53" i="5"/>
  <c r="S53" i="5"/>
  <c r="AN24" i="4"/>
  <c r="AF24" i="4"/>
  <c r="AG24" i="4" s="1"/>
  <c r="AI24" i="4" s="1"/>
  <c r="AK24" i="4"/>
  <c r="AL24" i="4" s="1"/>
  <c r="BJ276" i="5"/>
  <c r="BK276" i="5"/>
  <c r="BJ37" i="5"/>
  <c r="BK37" i="5"/>
  <c r="AK50" i="4"/>
  <c r="AL50" i="4" s="1"/>
  <c r="AN50" i="4"/>
  <c r="AF50" i="4"/>
  <c r="AG50" i="4" s="1"/>
  <c r="AI50" i="4" s="1"/>
  <c r="AP50" i="4"/>
  <c r="AQ50" i="4"/>
  <c r="AC50" i="4"/>
  <c r="AD50" i="4" s="1"/>
  <c r="AC248" i="5"/>
  <c r="AC235" i="5"/>
  <c r="AC218" i="5"/>
  <c r="AC525" i="5"/>
  <c r="AC304" i="5"/>
  <c r="AC494" i="5"/>
  <c r="AN8" i="4"/>
  <c r="AK8" i="4"/>
  <c r="AL8" i="4" s="1"/>
  <c r="AF8" i="4"/>
  <c r="AG8" i="4" s="1"/>
  <c r="AI8" i="4" s="1"/>
  <c r="AN15" i="4"/>
  <c r="AF15" i="4"/>
  <c r="AG15" i="4" s="1"/>
  <c r="AI15" i="4" s="1"/>
  <c r="AK15" i="4"/>
  <c r="AL15" i="4" s="1"/>
  <c r="AP33" i="4"/>
  <c r="AQ33" i="4"/>
  <c r="AC33" i="4"/>
  <c r="AD33" i="4" s="1"/>
  <c r="AQ524" i="5"/>
  <c r="AR524" i="5"/>
  <c r="BI524" i="5"/>
  <c r="BJ136" i="5"/>
  <c r="BK136" i="5"/>
  <c r="BJ256" i="5"/>
  <c r="BK256" i="5"/>
  <c r="BJ357" i="5"/>
  <c r="BK357" i="5"/>
  <c r="AQ45" i="4"/>
  <c r="AP45" i="4"/>
  <c r="AC45" i="4"/>
  <c r="AD45" i="4" s="1"/>
  <c r="AK115" i="4"/>
  <c r="AL115" i="4" s="1"/>
  <c r="AN115" i="4"/>
  <c r="AF115" i="4"/>
  <c r="AG115" i="4" s="1"/>
  <c r="AI115" i="4" s="1"/>
  <c r="AN21" i="4"/>
  <c r="AK21" i="4"/>
  <c r="AL21" i="4" s="1"/>
  <c r="AF21" i="4"/>
  <c r="AG21" i="4" s="1"/>
  <c r="AI21" i="4" s="1"/>
  <c r="AR452" i="5"/>
  <c r="BI452" i="5"/>
  <c r="AQ452" i="5"/>
  <c r="BK440" i="5"/>
  <c r="BJ440" i="5"/>
  <c r="BK98" i="5"/>
  <c r="BJ98" i="5"/>
  <c r="BK146" i="5"/>
  <c r="BJ146" i="5"/>
  <c r="BK189" i="5"/>
  <c r="BJ189" i="5"/>
  <c r="BJ234" i="5"/>
  <c r="BK234" i="5"/>
  <c r="BK231" i="5"/>
  <c r="BJ231" i="5"/>
  <c r="AK32" i="4"/>
  <c r="AL32" i="4" s="1"/>
  <c r="AN32" i="4"/>
  <c r="AF32" i="4"/>
  <c r="AG32" i="4" s="1"/>
  <c r="AI32" i="4" s="1"/>
  <c r="AN42" i="4"/>
  <c r="AK42" i="4"/>
  <c r="AL42" i="4" s="1"/>
  <c r="AF42" i="4"/>
  <c r="AG42" i="4" s="1"/>
  <c r="AI42" i="4" s="1"/>
  <c r="AP153" i="4"/>
  <c r="AQ153" i="4"/>
  <c r="AC153" i="4"/>
  <c r="AD153" i="4" s="1"/>
  <c r="AQ110" i="4"/>
  <c r="AC110" i="4"/>
  <c r="AD110" i="4" s="1"/>
  <c r="AQ157" i="4"/>
  <c r="AP157" i="4"/>
  <c r="AC157" i="4"/>
  <c r="AD157" i="4" s="1"/>
  <c r="AQ49" i="4"/>
  <c r="AP49" i="4"/>
  <c r="AC49" i="4"/>
  <c r="AD49" i="4" s="1"/>
  <c r="AN71" i="4"/>
  <c r="AK71" i="4"/>
  <c r="AL71" i="4" s="1"/>
  <c r="AF71" i="4"/>
  <c r="AG71" i="4" s="1"/>
  <c r="AI71" i="4" s="1"/>
  <c r="BJ391" i="5"/>
  <c r="BK391" i="5"/>
  <c r="BJ511" i="5"/>
  <c r="BK511" i="5"/>
  <c r="BK305" i="5"/>
  <c r="BJ305" i="5"/>
  <c r="BK112" i="5"/>
  <c r="BJ112" i="5"/>
  <c r="BJ243" i="5"/>
  <c r="BK243" i="5"/>
  <c r="BJ415" i="5"/>
  <c r="BK415" i="5"/>
  <c r="BJ241" i="5"/>
  <c r="BK241" i="5"/>
  <c r="BK555" i="5"/>
  <c r="BJ555" i="5"/>
  <c r="BK325" i="5"/>
  <c r="BJ325" i="5"/>
  <c r="BK132" i="5"/>
  <c r="BJ132" i="5"/>
  <c r="BJ279" i="5"/>
  <c r="BK279" i="5"/>
  <c r="BK540" i="5"/>
  <c r="BJ540" i="5"/>
  <c r="BJ526" i="5"/>
  <c r="BK526" i="5"/>
  <c r="BJ385" i="5"/>
  <c r="BK385" i="5"/>
  <c r="BK323" i="5"/>
  <c r="BJ323" i="5"/>
  <c r="BJ161" i="5"/>
  <c r="BK161" i="5"/>
  <c r="BJ222" i="5"/>
  <c r="BK222" i="5"/>
  <c r="BK160" i="5"/>
  <c r="BJ160" i="5"/>
  <c r="BJ479" i="5"/>
  <c r="BK479" i="5"/>
  <c r="BK426" i="5"/>
  <c r="BJ426" i="5"/>
  <c r="BK239" i="5"/>
  <c r="BJ239" i="5"/>
  <c r="BJ28" i="5"/>
  <c r="BK28" i="5"/>
  <c r="BJ553" i="5"/>
  <c r="BK553" i="5"/>
  <c r="AQ54" i="5"/>
  <c r="BI54" i="5"/>
  <c r="AR54" i="5"/>
  <c r="BK271" i="5"/>
  <c r="BJ271" i="5"/>
  <c r="BJ363" i="5"/>
  <c r="BK363" i="5"/>
  <c r="BK380" i="5"/>
  <c r="BJ380" i="5"/>
  <c r="BJ74" i="5"/>
  <c r="BK74" i="5"/>
  <c r="BK557" i="5"/>
  <c r="BJ557" i="5"/>
  <c r="BJ21" i="5"/>
  <c r="BK21" i="5"/>
  <c r="BK487" i="5"/>
  <c r="BJ487" i="5"/>
  <c r="AC85" i="4"/>
  <c r="AD85" i="4" s="1"/>
  <c r="AK41" i="4"/>
  <c r="AL41" i="4" s="1"/>
  <c r="AN41" i="4"/>
  <c r="AF41" i="4"/>
  <c r="AG41" i="4" s="1"/>
  <c r="AI41" i="4" s="1"/>
  <c r="AN39" i="4"/>
  <c r="AK39" i="4"/>
  <c r="AL39" i="4" s="1"/>
  <c r="AF39" i="4"/>
  <c r="AG39" i="4" s="1"/>
  <c r="AI39" i="4" s="1"/>
  <c r="AQ119" i="4"/>
  <c r="AP119" i="4"/>
  <c r="AC119" i="4"/>
  <c r="AD119" i="4" s="1"/>
  <c r="AP130" i="4"/>
  <c r="AQ130" i="4"/>
  <c r="AC130" i="4"/>
  <c r="AD130" i="4" s="1"/>
  <c r="AK105" i="4"/>
  <c r="AL105" i="4" s="1"/>
  <c r="AP55" i="4"/>
  <c r="AQ55" i="4"/>
  <c r="AC55" i="4"/>
  <c r="AD55" i="4" s="1"/>
  <c r="BJ206" i="5"/>
  <c r="BK206" i="5"/>
  <c r="BJ150" i="5"/>
  <c r="BK150" i="5"/>
  <c r="BK197" i="5"/>
  <c r="BJ197" i="5"/>
  <c r="BJ169" i="5"/>
  <c r="BK169" i="5"/>
  <c r="BJ253" i="5"/>
  <c r="BK253" i="5"/>
  <c r="BK498" i="5"/>
  <c r="BJ498" i="5"/>
  <c r="BJ193" i="5"/>
  <c r="BK193" i="5"/>
  <c r="BK477" i="5"/>
  <c r="BJ477" i="5"/>
  <c r="AQ372" i="5"/>
  <c r="AR372" i="5"/>
  <c r="BI372" i="5"/>
  <c r="BK166" i="5"/>
  <c r="BJ166" i="5"/>
  <c r="BK374" i="5"/>
  <c r="BJ374" i="5"/>
  <c r="BK207" i="5"/>
  <c r="BJ207" i="5"/>
  <c r="BK404" i="5"/>
  <c r="BJ404" i="5"/>
  <c r="BJ175" i="5"/>
  <c r="BK175" i="5"/>
  <c r="BK70" i="5"/>
  <c r="BJ70" i="5"/>
  <c r="BK384" i="5"/>
  <c r="BJ384" i="5"/>
  <c r="BK121" i="5"/>
  <c r="BJ121" i="5"/>
  <c r="BJ367" i="5"/>
  <c r="BK367" i="5"/>
  <c r="BJ103" i="5"/>
  <c r="BK103" i="5"/>
  <c r="BJ409" i="5"/>
  <c r="BK409" i="5"/>
  <c r="BK220" i="5"/>
  <c r="BJ220" i="5"/>
  <c r="BJ442" i="5"/>
  <c r="BK442" i="5"/>
  <c r="BI485" i="5"/>
  <c r="AR485" i="5"/>
  <c r="AQ485" i="5"/>
  <c r="BJ322" i="5"/>
  <c r="BK322" i="5"/>
  <c r="BK130" i="5"/>
  <c r="BJ130" i="5"/>
  <c r="BJ383" i="5"/>
  <c r="BK383" i="5"/>
  <c r="BK306" i="5"/>
  <c r="BJ306" i="5"/>
  <c r="BK289" i="5"/>
  <c r="BJ289" i="5"/>
  <c r="BK96" i="5"/>
  <c r="BJ531" i="5"/>
  <c r="BK531" i="5"/>
  <c r="BK264" i="5"/>
  <c r="BJ264" i="5"/>
  <c r="BK71" i="5"/>
  <c r="BJ71" i="5"/>
  <c r="BJ545" i="5"/>
  <c r="BK545" i="5"/>
  <c r="BK113" i="5"/>
  <c r="BJ113" i="5"/>
  <c r="BK432" i="5"/>
  <c r="BJ432" i="5"/>
  <c r="BJ376" i="5"/>
  <c r="BK376" i="5"/>
  <c r="S63" i="5"/>
  <c r="R63" i="5"/>
  <c r="S282" i="5"/>
  <c r="R282" i="5"/>
  <c r="S522" i="5"/>
  <c r="R522" i="5"/>
  <c r="S318" i="5"/>
  <c r="R318" i="5"/>
  <c r="R303" i="5"/>
  <c r="S303" i="5"/>
  <c r="S443" i="5"/>
  <c r="R443" i="5"/>
  <c r="S210" i="5"/>
  <c r="R210" i="5"/>
  <c r="R509" i="5"/>
  <c r="S509" i="5"/>
  <c r="S298" i="5"/>
  <c r="R298" i="5"/>
  <c r="S497" i="5"/>
  <c r="R497" i="5"/>
  <c r="S191" i="5"/>
  <c r="R191" i="5"/>
  <c r="S91" i="5"/>
  <c r="R91" i="5"/>
  <c r="R237" i="5"/>
  <c r="S237" i="5"/>
  <c r="R93" i="5"/>
  <c r="S93" i="5"/>
  <c r="S527" i="5"/>
  <c r="R527" i="5"/>
  <c r="S60" i="5"/>
  <c r="R60" i="5"/>
  <c r="R180" i="5"/>
  <c r="S180" i="5"/>
  <c r="S116" i="5"/>
  <c r="R116" i="5"/>
  <c r="S249" i="5"/>
  <c r="R249" i="5"/>
  <c r="S71" i="5"/>
  <c r="R71" i="5"/>
  <c r="R120" i="5"/>
  <c r="S120" i="5"/>
  <c r="S65" i="5"/>
  <c r="R65" i="5"/>
  <c r="R476" i="5"/>
  <c r="S476" i="5"/>
  <c r="R462" i="5"/>
  <c r="S462" i="5"/>
  <c r="S306" i="5"/>
  <c r="R306" i="5"/>
  <c r="R206" i="5"/>
  <c r="S206" i="5"/>
  <c r="R391" i="5"/>
  <c r="S391" i="5"/>
  <c r="R231" i="5"/>
  <c r="S231" i="5"/>
  <c r="R342" i="5"/>
  <c r="S342" i="5"/>
  <c r="R218" i="5"/>
  <c r="S218" i="5"/>
  <c r="S539" i="5"/>
  <c r="R539" i="5"/>
  <c r="S376" i="5"/>
  <c r="R376" i="5"/>
  <c r="R50" i="5"/>
  <c r="S50" i="5"/>
  <c r="S252" i="5"/>
  <c r="R252" i="5"/>
  <c r="R188" i="5"/>
  <c r="S188" i="5"/>
  <c r="R67" i="5"/>
  <c r="S67" i="5"/>
  <c r="R383" i="5"/>
  <c r="S383" i="5"/>
  <c r="S235" i="5"/>
  <c r="R235" i="5"/>
  <c r="S226" i="5"/>
  <c r="R226" i="5"/>
  <c r="R94" i="5"/>
  <c r="S94" i="5"/>
  <c r="S112" i="5"/>
  <c r="R112" i="5"/>
  <c r="R493" i="5"/>
  <c r="S493" i="5"/>
  <c r="R353" i="5"/>
  <c r="S353" i="5"/>
  <c r="S316" i="5"/>
  <c r="R316" i="5"/>
  <c r="S310" i="5"/>
  <c r="R310" i="5"/>
  <c r="S86" i="5"/>
  <c r="R86" i="5"/>
  <c r="S478" i="5"/>
  <c r="R478" i="5"/>
  <c r="S87" i="5"/>
  <c r="R87" i="5"/>
  <c r="S260" i="5"/>
  <c r="R260" i="5"/>
  <c r="S502" i="5"/>
  <c r="R502" i="5"/>
  <c r="R241" i="5"/>
  <c r="S241" i="5"/>
  <c r="R410" i="5"/>
  <c r="S410" i="5"/>
  <c r="R430" i="5"/>
  <c r="S430" i="5"/>
  <c r="S354" i="5"/>
  <c r="R354" i="5"/>
  <c r="S122" i="5"/>
  <c r="R122" i="5"/>
  <c r="R192" i="5"/>
  <c r="S192" i="5"/>
  <c r="S220" i="5"/>
  <c r="R220" i="5"/>
  <c r="R32" i="5"/>
  <c r="S32" i="5"/>
  <c r="S417" i="5"/>
  <c r="R417" i="5"/>
  <c r="R308" i="5"/>
  <c r="S308" i="5"/>
  <c r="R314" i="5"/>
  <c r="S314" i="5"/>
  <c r="S254" i="5"/>
  <c r="R254" i="5"/>
  <c r="R166" i="5"/>
  <c r="S166" i="5"/>
  <c r="R101" i="5"/>
  <c r="S101" i="5"/>
  <c r="S545" i="5"/>
  <c r="R545" i="5"/>
  <c r="R305" i="5"/>
  <c r="S305" i="5"/>
  <c r="S498" i="5"/>
  <c r="R498" i="5"/>
  <c r="S352" i="5"/>
  <c r="R352" i="5"/>
  <c r="S51" i="5"/>
  <c r="R51" i="5"/>
  <c r="S10" i="5"/>
  <c r="R10" i="5"/>
  <c r="R548" i="5"/>
  <c r="S548" i="5"/>
  <c r="R422" i="5"/>
  <c r="S422" i="5"/>
  <c r="S440" i="5"/>
  <c r="R440" i="5"/>
  <c r="R175" i="5"/>
  <c r="S175" i="5"/>
  <c r="S251" i="5"/>
  <c r="R251" i="5"/>
  <c r="S243" i="5"/>
  <c r="R243" i="5"/>
  <c r="S472" i="5"/>
  <c r="R472" i="5"/>
  <c r="S492" i="5"/>
  <c r="R492" i="5"/>
  <c r="R338" i="5"/>
  <c r="S338" i="5"/>
  <c r="S130" i="5"/>
  <c r="R130" i="5"/>
  <c r="S456" i="5"/>
  <c r="R456" i="5"/>
  <c r="S399" i="5"/>
  <c r="R399" i="5"/>
  <c r="S329" i="5"/>
  <c r="R329" i="5"/>
  <c r="S377" i="5"/>
  <c r="R377" i="5"/>
  <c r="R38" i="5"/>
  <c r="S38" i="5"/>
  <c r="R364" i="5"/>
  <c r="S364" i="5"/>
  <c r="R250" i="5"/>
  <c r="S250" i="5"/>
  <c r="R528" i="5"/>
  <c r="S528" i="5"/>
  <c r="R477" i="5"/>
  <c r="S477" i="5"/>
  <c r="S411" i="5"/>
  <c r="R411" i="5"/>
  <c r="R213" i="5"/>
  <c r="S213" i="5"/>
  <c r="S501" i="5"/>
  <c r="R501" i="5"/>
  <c r="R73" i="5"/>
  <c r="S73" i="5"/>
  <c r="R199" i="5"/>
  <c r="S199" i="5"/>
  <c r="R484" i="5"/>
  <c r="S484" i="5"/>
  <c r="S409" i="5"/>
  <c r="R409" i="5"/>
  <c r="R27" i="5"/>
  <c r="S27" i="5"/>
  <c r="S211" i="5"/>
  <c r="R211" i="5"/>
  <c r="S304" i="5"/>
  <c r="R304" i="5"/>
  <c r="R26" i="5"/>
  <c r="S26" i="5"/>
  <c r="S58" i="5"/>
  <c r="R58" i="5"/>
  <c r="R184" i="5"/>
  <c r="S184" i="5"/>
  <c r="S348" i="5"/>
  <c r="R348" i="5"/>
  <c r="S328" i="5"/>
  <c r="R328" i="5"/>
  <c r="R448" i="5"/>
  <c r="S448" i="5"/>
  <c r="S23" i="5"/>
  <c r="R23" i="5"/>
  <c r="S388" i="5"/>
  <c r="R388" i="5"/>
  <c r="R224" i="5"/>
  <c r="S224" i="5"/>
  <c r="S52" i="5"/>
  <c r="R52" i="5"/>
  <c r="R104" i="5"/>
  <c r="S104" i="5"/>
  <c r="R97" i="5"/>
  <c r="S97" i="5"/>
  <c r="R108" i="5"/>
  <c r="S108" i="5"/>
  <c r="S146" i="5"/>
  <c r="R146" i="5"/>
  <c r="R361" i="5"/>
  <c r="S361" i="5"/>
  <c r="S124" i="5"/>
  <c r="R124" i="5"/>
  <c r="R503" i="5"/>
  <c r="S503" i="5"/>
  <c r="S144" i="5"/>
  <c r="R144" i="5"/>
  <c r="S465" i="5"/>
  <c r="R465" i="5"/>
  <c r="S274" i="5"/>
  <c r="R274" i="5"/>
  <c r="R119" i="5"/>
  <c r="S119" i="5"/>
  <c r="R55" i="5"/>
  <c r="S55" i="5"/>
  <c r="S540" i="5"/>
  <c r="R540" i="5"/>
  <c r="R362" i="5"/>
  <c r="S362" i="5"/>
  <c r="R531" i="5"/>
  <c r="S531" i="5"/>
  <c r="S103" i="5"/>
  <c r="R103" i="5"/>
  <c r="S158" i="5"/>
  <c r="R158" i="5"/>
  <c r="S133" i="5"/>
  <c r="R133" i="5"/>
  <c r="S143" i="5"/>
  <c r="R143" i="5"/>
  <c r="R366" i="5"/>
  <c r="S366" i="5"/>
  <c r="R421" i="5"/>
  <c r="S421" i="5"/>
  <c r="S48" i="5"/>
  <c r="R48" i="5"/>
  <c r="R471" i="5"/>
  <c r="S471" i="5"/>
  <c r="R392" i="5"/>
  <c r="S392" i="5"/>
  <c r="R177" i="5"/>
  <c r="S177" i="5"/>
  <c r="S418" i="5"/>
  <c r="R418" i="5"/>
  <c r="R287" i="5"/>
  <c r="S287" i="5"/>
  <c r="S408" i="5"/>
  <c r="R408" i="5"/>
  <c r="BH7" i="5"/>
  <c r="BM7" i="5" s="1"/>
  <c r="BG7" i="5"/>
  <c r="BL7" i="5" s="1"/>
  <c r="BK344" i="5"/>
  <c r="BJ344" i="5"/>
  <c r="BJ217" i="5"/>
  <c r="BK217" i="5"/>
  <c r="AK53" i="4"/>
  <c r="AL53" i="4" s="1"/>
  <c r="AN53" i="4"/>
  <c r="AF53" i="4"/>
  <c r="AG53" i="4" s="1"/>
  <c r="AI53" i="4" s="1"/>
  <c r="AQ46" i="4"/>
  <c r="AC46" i="4"/>
  <c r="AD46" i="4" s="1"/>
  <c r="AP46" i="4"/>
  <c r="AC35" i="5"/>
  <c r="AC517" i="5"/>
  <c r="AC444" i="5"/>
  <c r="AC367" i="5"/>
  <c r="AC60" i="5"/>
  <c r="AC496" i="5"/>
  <c r="AC302" i="5"/>
  <c r="AC239" i="5"/>
  <c r="AC188" i="5"/>
  <c r="AC39" i="5"/>
  <c r="AC386" i="5"/>
  <c r="AC529" i="5"/>
  <c r="AC392" i="5"/>
  <c r="AC59" i="5"/>
  <c r="AC355" i="5"/>
  <c r="AC354" i="5"/>
  <c r="AC250" i="5"/>
  <c r="AC310" i="5"/>
  <c r="AC404" i="5"/>
  <c r="AC398" i="5"/>
  <c r="AC200" i="5"/>
  <c r="AC520" i="5"/>
  <c r="AC192" i="5"/>
  <c r="AC179" i="5"/>
  <c r="AC163" i="5"/>
  <c r="AC169" i="5"/>
  <c r="AC78" i="5"/>
  <c r="AC216" i="5"/>
  <c r="AC317" i="5"/>
  <c r="AC146" i="5"/>
  <c r="AC215" i="5"/>
  <c r="AC340" i="5"/>
  <c r="AC219" i="5"/>
  <c r="AC189" i="5"/>
  <c r="AC196" i="5"/>
  <c r="AC365" i="5"/>
  <c r="AC54" i="5"/>
  <c r="AC548" i="5"/>
  <c r="AC536" i="5"/>
  <c r="AC138" i="5"/>
  <c r="AC481" i="5"/>
  <c r="AC136" i="5"/>
  <c r="AC305" i="5"/>
  <c r="AC23" i="5"/>
  <c r="AC321" i="5"/>
  <c r="AC359" i="5"/>
  <c r="AC306" i="5"/>
  <c r="AC255" i="5"/>
  <c r="AC342" i="5"/>
  <c r="AC274" i="5"/>
  <c r="AC347" i="5"/>
  <c r="AC263" i="5"/>
  <c r="AC491" i="5"/>
  <c r="AC237" i="5"/>
  <c r="AC154" i="5"/>
  <c r="AC285" i="5"/>
  <c r="AC426" i="5"/>
  <c r="AC532" i="5"/>
  <c r="AC530" i="5"/>
  <c r="AC267" i="5"/>
  <c r="AC252" i="5"/>
  <c r="AC523" i="5"/>
  <c r="AC389" i="5"/>
  <c r="AC476" i="5"/>
  <c r="AC168" i="5"/>
  <c r="AC159" i="5"/>
  <c r="AC335" i="5"/>
  <c r="AC266" i="5"/>
  <c r="AC290" i="5"/>
  <c r="AC99" i="5"/>
  <c r="AC223" i="5"/>
  <c r="AC307" i="5"/>
  <c r="AC526" i="5"/>
  <c r="AC229" i="5"/>
  <c r="AC155" i="5"/>
  <c r="AC121" i="5"/>
  <c r="AC477" i="5"/>
  <c r="AC394" i="5"/>
  <c r="AC323" i="5"/>
  <c r="AC449" i="5"/>
  <c r="AC231" i="5"/>
  <c r="AC495" i="5"/>
  <c r="AC33" i="5"/>
  <c r="AC535" i="5"/>
  <c r="AC538" i="5"/>
  <c r="AC412" i="5"/>
  <c r="AC82" i="5"/>
  <c r="AC435" i="5"/>
  <c r="AC112" i="5"/>
  <c r="AC262" i="5"/>
  <c r="AC346" i="5"/>
  <c r="AC457" i="5"/>
  <c r="AC185" i="5"/>
  <c r="AC417" i="5"/>
  <c r="AC399" i="5"/>
  <c r="AC171" i="5"/>
  <c r="AC482" i="5"/>
  <c r="AC339" i="5"/>
  <c r="AC74" i="5"/>
  <c r="AC124" i="5"/>
  <c r="AC429" i="5"/>
  <c r="AC349" i="5"/>
  <c r="AC153" i="5"/>
  <c r="AC162" i="5"/>
  <c r="AC243" i="5"/>
  <c r="AC195" i="5"/>
  <c r="AC301" i="5"/>
  <c r="AC402" i="5"/>
  <c r="AC245" i="5"/>
  <c r="AC329" i="5"/>
  <c r="AC458" i="5"/>
  <c r="AC324" i="5"/>
  <c r="AC370" i="5"/>
  <c r="AC554" i="5"/>
  <c r="AC87" i="5"/>
  <c r="AC277" i="5"/>
  <c r="AC254" i="5"/>
  <c r="AC164" i="5"/>
  <c r="AC353" i="5"/>
  <c r="AC473" i="5"/>
  <c r="AC8" i="5"/>
  <c r="AC500" i="5"/>
  <c r="AC209" i="5"/>
  <c r="AC421" i="5"/>
  <c r="AC88" i="5"/>
  <c r="AC110" i="5"/>
  <c r="AC181" i="5"/>
  <c r="AC415" i="5"/>
  <c r="AC144" i="5"/>
  <c r="AC328" i="5"/>
  <c r="AC341" i="5"/>
  <c r="AC542" i="5"/>
  <c r="AC431" i="5"/>
  <c r="AC137" i="5"/>
  <c r="AC19" i="5"/>
  <c r="AC28" i="5"/>
  <c r="AC44" i="5"/>
  <c r="AQ139" i="4"/>
  <c r="AC139" i="4"/>
  <c r="AD139" i="4" s="1"/>
  <c r="AP139" i="4"/>
  <c r="AP104" i="4"/>
  <c r="AQ104" i="4"/>
  <c r="AC104" i="4"/>
  <c r="AD104" i="4" s="1"/>
  <c r="AN69" i="4"/>
  <c r="BK341" i="5"/>
  <c r="BJ341" i="5"/>
  <c r="BK64" i="5"/>
  <c r="BJ64" i="5"/>
  <c r="AN142" i="4"/>
  <c r="AK142" i="4"/>
  <c r="AL142" i="4" s="1"/>
  <c r="AF142" i="4"/>
  <c r="AG142" i="4" s="1"/>
  <c r="AI142" i="4" s="1"/>
  <c r="BJ232" i="5"/>
  <c r="BK232" i="5"/>
  <c r="BJ167" i="5"/>
  <c r="BK167" i="5"/>
  <c r="BK330" i="5"/>
  <c r="BJ330" i="5"/>
  <c r="BJ551" i="5"/>
  <c r="BK551" i="5"/>
  <c r="BJ208" i="5"/>
  <c r="BK208" i="5"/>
  <c r="BJ116" i="5"/>
  <c r="BK116" i="5"/>
  <c r="BK318" i="5"/>
  <c r="BJ318" i="5"/>
  <c r="BJ76" i="5"/>
  <c r="BK76" i="5"/>
  <c r="BK268" i="5"/>
  <c r="BJ268" i="5"/>
  <c r="BK346" i="5"/>
  <c r="BJ346" i="5"/>
  <c r="BJ291" i="5"/>
  <c r="BK291" i="5"/>
  <c r="BJ399" i="5"/>
  <c r="BK399" i="5"/>
  <c r="BJ52" i="5"/>
  <c r="BK52" i="5"/>
  <c r="BJ326" i="5"/>
  <c r="BK326" i="5"/>
  <c r="BJ66" i="5"/>
  <c r="BK66" i="5"/>
  <c r="BJ350" i="5"/>
  <c r="BK350" i="5"/>
  <c r="BK23" i="5"/>
  <c r="BJ23" i="5"/>
  <c r="BJ455" i="5"/>
  <c r="BK261" i="5"/>
  <c r="BJ261" i="5"/>
  <c r="AQ411" i="5"/>
  <c r="BI411" i="5"/>
  <c r="AR411" i="5"/>
  <c r="AQ446" i="5"/>
  <c r="BI446" i="5"/>
  <c r="AR446" i="5"/>
  <c r="BK280" i="5"/>
  <c r="BJ280" i="5"/>
  <c r="BJ481" i="5"/>
  <c r="BK481" i="5"/>
  <c r="BJ351" i="5"/>
  <c r="BK351" i="5"/>
  <c r="BJ377" i="5"/>
  <c r="BK377" i="5"/>
  <c r="BJ40" i="5"/>
  <c r="BK40" i="5"/>
  <c r="BK365" i="5"/>
  <c r="BJ365" i="5"/>
  <c r="BK476" i="5"/>
  <c r="BJ476" i="5"/>
  <c r="BJ349" i="5"/>
  <c r="BK349" i="5"/>
  <c r="BK226" i="5"/>
  <c r="BJ226" i="5"/>
  <c r="BK471" i="5"/>
  <c r="BJ471" i="5"/>
  <c r="BJ512" i="5"/>
  <c r="BK512" i="5"/>
  <c r="BK343" i="5"/>
  <c r="BJ343" i="5"/>
  <c r="AP87" i="4"/>
  <c r="AQ87" i="4"/>
  <c r="AC87" i="4"/>
  <c r="AD87" i="4" s="1"/>
  <c r="AF25" i="4"/>
  <c r="AG25" i="4" s="1"/>
  <c r="AI25" i="4" s="1"/>
  <c r="AK25" i="4"/>
  <c r="AL25" i="4" s="1"/>
  <c r="AN25" i="4"/>
  <c r="AP82" i="4"/>
  <c r="AN27" i="4"/>
  <c r="AK27" i="4"/>
  <c r="AL27" i="4" s="1"/>
  <c r="AF27" i="4"/>
  <c r="AG27" i="4" s="1"/>
  <c r="AI27" i="4" s="1"/>
  <c r="BJ170" i="5"/>
  <c r="BK170" i="5"/>
  <c r="BJ80" i="5"/>
  <c r="BK80" i="5"/>
  <c r="BJ527" i="5"/>
  <c r="BK527" i="5"/>
  <c r="BJ459" i="5"/>
  <c r="BK459" i="5"/>
  <c r="BK247" i="5"/>
  <c r="BJ247" i="5"/>
  <c r="BJ368" i="5"/>
  <c r="BK368" i="5"/>
  <c r="BK8" i="5"/>
  <c r="BJ8" i="5"/>
  <c r="BJ554" i="5"/>
  <c r="BK554" i="5"/>
  <c r="BK240" i="5"/>
  <c r="BJ240" i="5"/>
  <c r="BJ282" i="5"/>
  <c r="BK282" i="5"/>
  <c r="BK229" i="5"/>
  <c r="BJ229" i="5"/>
  <c r="BK218" i="5"/>
  <c r="BJ218" i="5"/>
  <c r="BK145" i="5"/>
  <c r="BJ145" i="5"/>
  <c r="BK463" i="5"/>
  <c r="BJ463" i="5"/>
  <c r="BK356" i="5"/>
  <c r="BJ356" i="5"/>
  <c r="BK535" i="5"/>
  <c r="BJ535" i="5"/>
  <c r="AC133" i="5"/>
  <c r="AC454" i="5"/>
  <c r="AC92" i="5"/>
  <c r="AC75" i="5"/>
  <c r="AC193" i="5"/>
  <c r="AC280" i="5"/>
  <c r="AC413" i="5"/>
  <c r="AC244" i="5"/>
  <c r="AC356" i="5"/>
  <c r="AC283" i="5"/>
  <c r="AC456" i="5"/>
  <c r="AC546" i="5"/>
  <c r="AC371" i="5"/>
  <c r="AC557" i="5"/>
  <c r="AC94" i="5"/>
  <c r="AC484" i="5"/>
  <c r="AC460" i="5"/>
  <c r="AC336" i="5"/>
  <c r="AC228" i="5"/>
  <c r="AC174" i="5"/>
  <c r="AC198" i="5"/>
  <c r="AC152" i="5"/>
  <c r="AC173" i="5"/>
  <c r="AC469" i="5"/>
  <c r="AC395" i="5"/>
  <c r="AC251" i="5"/>
  <c r="AC117" i="5"/>
  <c r="AC241" i="5"/>
  <c r="AC407" i="5"/>
  <c r="AC420" i="5"/>
  <c r="AC48" i="5"/>
  <c r="AC471" i="5"/>
  <c r="AC89" i="5"/>
  <c r="AC143" i="5"/>
  <c r="AC428" i="5"/>
  <c r="AC211" i="5"/>
  <c r="AC57" i="5"/>
  <c r="AC490" i="5"/>
  <c r="AC493" i="5"/>
  <c r="AC472" i="5"/>
  <c r="AC177" i="5"/>
  <c r="AC291" i="5"/>
  <c r="AC547" i="5"/>
  <c r="AC199" i="5"/>
  <c r="AC374" i="5"/>
  <c r="AC480" i="5"/>
  <c r="AC351" i="5"/>
  <c r="AC433" i="5"/>
  <c r="AC105" i="5"/>
  <c r="AC497" i="5"/>
  <c r="AC288" i="5"/>
  <c r="AC25" i="5"/>
  <c r="AC427" i="5"/>
  <c r="AC130" i="5"/>
  <c r="AC388" i="5"/>
  <c r="AC483" i="5"/>
  <c r="AC505" i="5"/>
  <c r="AC100" i="5"/>
  <c r="AC53" i="5"/>
  <c r="AC151" i="5"/>
  <c r="AC264" i="5"/>
  <c r="AC156" i="5"/>
  <c r="AC512" i="5"/>
  <c r="AC275" i="5"/>
  <c r="AC303" i="5"/>
  <c r="AC343" i="5"/>
  <c r="AC452" i="5"/>
  <c r="AC67" i="5"/>
  <c r="AC314" i="5"/>
  <c r="AC68" i="5"/>
  <c r="AC295" i="5"/>
  <c r="AC378" i="5"/>
  <c r="AC539" i="5"/>
  <c r="AC65" i="5"/>
  <c r="AC253" i="5"/>
  <c r="AC545" i="5"/>
  <c r="AC47" i="5"/>
  <c r="AC425" i="5"/>
  <c r="AC432" i="5"/>
  <c r="AC333" i="5"/>
  <c r="AC450" i="5"/>
  <c r="AC271" i="5"/>
  <c r="AC287" i="5"/>
  <c r="AC95" i="5"/>
  <c r="AC120" i="5"/>
  <c r="AC289" i="5"/>
  <c r="AC544" i="5"/>
  <c r="AC486" i="5"/>
  <c r="AC488" i="5"/>
  <c r="AC487" i="5"/>
  <c r="AC128" i="5"/>
  <c r="AC203" i="5"/>
  <c r="AC453" i="5"/>
  <c r="AC220" i="5"/>
  <c r="AC191" i="5"/>
  <c r="AC322" i="5"/>
  <c r="AC381" i="5"/>
  <c r="AC207" i="5"/>
  <c r="AC474" i="5"/>
  <c r="AC424" i="5"/>
  <c r="AC41" i="5"/>
  <c r="AC279" i="5"/>
  <c r="AC93" i="5"/>
  <c r="AC393" i="5"/>
  <c r="AC331" i="5"/>
  <c r="AC150" i="5"/>
  <c r="AC236" i="5"/>
  <c r="AC352" i="5"/>
  <c r="AC551" i="5"/>
  <c r="AC549" i="5"/>
  <c r="AC83" i="5"/>
  <c r="AC234" i="5"/>
  <c r="AC316" i="5"/>
  <c r="AC372" i="5"/>
  <c r="AC51" i="5"/>
  <c r="AC187" i="5"/>
  <c r="AC309" i="5"/>
  <c r="AC437" i="5"/>
  <c r="AC507" i="5"/>
  <c r="AC558" i="5"/>
  <c r="AC522" i="5"/>
  <c r="AC210" i="5"/>
  <c r="AC166" i="5"/>
  <c r="AC258" i="5"/>
  <c r="AC70" i="5"/>
  <c r="AC21" i="5"/>
  <c r="AC76" i="5"/>
  <c r="AC282" i="5"/>
  <c r="AC29" i="5"/>
  <c r="AC541" i="5"/>
  <c r="AN114" i="4"/>
  <c r="AK114" i="4"/>
  <c r="AL114" i="4" s="1"/>
  <c r="AF114" i="4"/>
  <c r="AG114" i="4" s="1"/>
  <c r="AI114" i="4" s="1"/>
  <c r="AN51" i="4"/>
  <c r="AK51" i="4"/>
  <c r="AL51" i="4" s="1"/>
  <c r="AF51" i="4"/>
  <c r="AG51" i="4" s="1"/>
  <c r="AI51" i="4" s="1"/>
  <c r="BJ336" i="5"/>
  <c r="BK336" i="5"/>
  <c r="BJ196" i="5"/>
  <c r="BK196" i="5"/>
  <c r="BJ536" i="5"/>
  <c r="BK536" i="5"/>
  <c r="BK436" i="5"/>
  <c r="BJ436" i="5"/>
  <c r="BK182" i="5"/>
  <c r="BJ182" i="5"/>
  <c r="BJ184" i="5"/>
  <c r="BK184" i="5"/>
  <c r="AK120" i="4"/>
  <c r="AL120" i="4" s="1"/>
  <c r="AF120" i="4"/>
  <c r="AG120" i="4" s="1"/>
  <c r="AI120" i="4" s="1"/>
  <c r="AN120" i="4"/>
  <c r="BK496" i="5"/>
  <c r="BJ496" i="5"/>
  <c r="BK164" i="5"/>
  <c r="BJ164" i="5"/>
  <c r="BJ454" i="5"/>
  <c r="BK454" i="5"/>
  <c r="BK537" i="5"/>
  <c r="BJ537" i="5"/>
  <c r="BK142" i="5"/>
  <c r="BJ142" i="5"/>
  <c r="BK135" i="5"/>
  <c r="BJ135" i="5"/>
  <c r="BK490" i="5"/>
  <c r="BJ490" i="5"/>
  <c r="BJ507" i="5"/>
  <c r="BK507" i="5"/>
  <c r="BK156" i="5"/>
  <c r="BJ156" i="5"/>
  <c r="BK45" i="5"/>
  <c r="BJ45" i="5"/>
  <c r="BK312" i="5"/>
  <c r="BJ312" i="5"/>
  <c r="BJ392" i="5"/>
  <c r="BK392" i="5"/>
  <c r="BK237" i="5"/>
  <c r="BJ237" i="5"/>
  <c r="AQ176" i="5"/>
  <c r="AR176" i="5"/>
  <c r="BI176" i="5"/>
  <c r="BJ483" i="5"/>
  <c r="BK483" i="5"/>
  <c r="BJ199" i="5"/>
  <c r="BK199" i="5"/>
  <c r="BK400" i="5"/>
  <c r="BJ400" i="5"/>
  <c r="BK494" i="5"/>
  <c r="BJ494" i="5"/>
  <c r="BK328" i="5"/>
  <c r="BJ328" i="5"/>
  <c r="BK22" i="5"/>
  <c r="BJ22" i="5"/>
  <c r="BK115" i="5"/>
  <c r="BJ115" i="5"/>
  <c r="BJ275" i="5"/>
  <c r="BK275" i="5"/>
  <c r="BJ316" i="5"/>
  <c r="BK316" i="5"/>
  <c r="AN29" i="4"/>
  <c r="AK29" i="4"/>
  <c r="AL29" i="4" s="1"/>
  <c r="AF29" i="4"/>
  <c r="AG29" i="4" s="1"/>
  <c r="AI29" i="4" s="1"/>
  <c r="AC10" i="4"/>
  <c r="AD10" i="4" s="1"/>
  <c r="AQ138" i="4"/>
  <c r="AP138" i="4"/>
  <c r="AC138" i="4"/>
  <c r="AD138" i="4" s="1"/>
  <c r="BK168" i="5"/>
  <c r="BJ168" i="5"/>
  <c r="BJ213" i="5"/>
  <c r="BK213" i="5"/>
  <c r="BJ304" i="5"/>
  <c r="BK304" i="5"/>
  <c r="BK286" i="5"/>
  <c r="BJ286" i="5"/>
  <c r="BK34" i="5"/>
  <c r="BJ34" i="5"/>
  <c r="AN9" i="4"/>
  <c r="AK9" i="4"/>
  <c r="AL9" i="4" s="1"/>
  <c r="AF9" i="4"/>
  <c r="AG9" i="4" s="1"/>
  <c r="AI9" i="4" s="1"/>
  <c r="BJ333" i="5"/>
  <c r="BK333" i="5"/>
  <c r="BK525" i="5"/>
  <c r="BJ525" i="5"/>
  <c r="BK387" i="5"/>
  <c r="BJ387" i="5"/>
  <c r="BJ124" i="5"/>
  <c r="BK124" i="5"/>
  <c r="BK437" i="5"/>
  <c r="BJ437" i="5"/>
  <c r="BJ299" i="5"/>
  <c r="BK299" i="5"/>
  <c r="BK274" i="5"/>
  <c r="BJ274" i="5"/>
  <c r="BJ106" i="5"/>
  <c r="BK106" i="5"/>
  <c r="BJ162" i="5"/>
  <c r="BK162" i="5"/>
  <c r="BJ38" i="5"/>
  <c r="BK38" i="5"/>
  <c r="AC556" i="5"/>
  <c r="AC345" i="5"/>
  <c r="AC233" i="5"/>
  <c r="AC238" i="5"/>
  <c r="AC32" i="5"/>
  <c r="AC232" i="5"/>
  <c r="AC127" i="5"/>
  <c r="AC270" i="5"/>
  <c r="AC10" i="5"/>
  <c r="AC503" i="5"/>
  <c r="AC212" i="5"/>
  <c r="AC145" i="5"/>
  <c r="AC259" i="5"/>
  <c r="AC157" i="5"/>
  <c r="AC227" i="5"/>
  <c r="AC126" i="5"/>
  <c r="AC12" i="5"/>
  <c r="AC334" i="5"/>
  <c r="AC161" i="5"/>
  <c r="AC461" i="5"/>
  <c r="AC293" i="5"/>
  <c r="AC318" i="5"/>
  <c r="AC114" i="5"/>
  <c r="AC176" i="5"/>
  <c r="AC284" i="5"/>
  <c r="AC106" i="5"/>
  <c r="AC86" i="5"/>
  <c r="AC501" i="5"/>
  <c r="AC396" i="5"/>
  <c r="AC205" i="5"/>
  <c r="AC511" i="5"/>
  <c r="AC247" i="5"/>
  <c r="AC63" i="5"/>
  <c r="AC516" i="5"/>
  <c r="AC533" i="5"/>
  <c r="AC508" i="5"/>
  <c r="AC186" i="5"/>
  <c r="AC20" i="5"/>
  <c r="AC246" i="5"/>
  <c r="AC190" i="5"/>
  <c r="AC366" i="5"/>
  <c r="AC182" i="5"/>
  <c r="AC434" i="5"/>
  <c r="AC118" i="5"/>
  <c r="AC66" i="5"/>
  <c r="AC552" i="5"/>
  <c r="AC506" i="5"/>
  <c r="AC201" i="5"/>
  <c r="AC296" i="5"/>
  <c r="AC510" i="5"/>
  <c r="AC222" i="5"/>
  <c r="AC397" i="5"/>
  <c r="AC73" i="5"/>
  <c r="AC308" i="5"/>
  <c r="AC204" i="5"/>
  <c r="AC414" i="5"/>
  <c r="AC327" i="5"/>
  <c r="AC208" i="5"/>
  <c r="AC240" i="5"/>
  <c r="AC178" i="5"/>
  <c r="AC325" i="5"/>
  <c r="AC139" i="5"/>
  <c r="AC555" i="5"/>
  <c r="AC230" i="5"/>
  <c r="AC55" i="5"/>
  <c r="AC470" i="5"/>
  <c r="AC411" i="5"/>
  <c r="AC22" i="5"/>
  <c r="AC268" i="5"/>
  <c r="AC519" i="5"/>
  <c r="AC61" i="5"/>
  <c r="AC269" i="5"/>
  <c r="AC194" i="5"/>
  <c r="AC383" i="5"/>
  <c r="AC492" i="5"/>
  <c r="AC79" i="5"/>
  <c r="AC543" i="5"/>
  <c r="AC122" i="5"/>
  <c r="AC465" i="5"/>
  <c r="AC509" i="5"/>
  <c r="AC72" i="5"/>
  <c r="AC479" i="5"/>
  <c r="AC403" i="5"/>
  <c r="AC320" i="5"/>
  <c r="AC217" i="5"/>
  <c r="AC104" i="5"/>
  <c r="AC401" i="5"/>
  <c r="AC132" i="5"/>
  <c r="AC515" i="5"/>
  <c r="AC134" i="5"/>
  <c r="AC440" i="5"/>
  <c r="AC214" i="5"/>
  <c r="AC332" i="5"/>
  <c r="AC513" i="5"/>
  <c r="AC31" i="5"/>
  <c r="AC36" i="5"/>
  <c r="AC406" i="5"/>
  <c r="AC531" i="5"/>
  <c r="AC98" i="5"/>
  <c r="AC292" i="5"/>
  <c r="AC160" i="5"/>
  <c r="AC265" i="5"/>
  <c r="AC443" i="5"/>
  <c r="AC125" i="5"/>
  <c r="AC485" i="5"/>
  <c r="AC45" i="5"/>
  <c r="AC475" i="5"/>
  <c r="AC362" i="5"/>
  <c r="AC286" i="5"/>
  <c r="AC141" i="5"/>
  <c r="AC90" i="5"/>
  <c r="AC445" i="5"/>
  <c r="AC448" i="5"/>
  <c r="AC38" i="5"/>
  <c r="AC213" i="5"/>
  <c r="AC377" i="5"/>
  <c r="AC430" i="5"/>
  <c r="AC260" i="5"/>
  <c r="AC225" i="5"/>
  <c r="AC419" i="5"/>
  <c r="AC81" i="5"/>
  <c r="AC358" i="5"/>
  <c r="AC49" i="5"/>
  <c r="AC326" i="5"/>
  <c r="AC410" i="5"/>
  <c r="AC97" i="5"/>
  <c r="AC281" i="5"/>
  <c r="AC85" i="5"/>
  <c r="AC524" i="5"/>
  <c r="AC297" i="5"/>
  <c r="AN100" i="4"/>
  <c r="AK100" i="4"/>
  <c r="AL100" i="4" s="1"/>
  <c r="AF100" i="4"/>
  <c r="AG100" i="4" s="1"/>
  <c r="AI100" i="4" s="1"/>
  <c r="AN104" i="4"/>
  <c r="AK104" i="4"/>
  <c r="AL104" i="4" s="1"/>
  <c r="AF104" i="4"/>
  <c r="AG104" i="4" s="1"/>
  <c r="AI104" i="4" s="1"/>
  <c r="AP114" i="4"/>
  <c r="AQ51" i="4"/>
  <c r="AP51" i="4"/>
  <c r="AC51" i="4"/>
  <c r="AD51" i="4" s="1"/>
  <c r="BK543" i="5"/>
  <c r="BJ543" i="5"/>
  <c r="BJ421" i="5"/>
  <c r="BK421" i="5"/>
  <c r="BJ311" i="5"/>
  <c r="BK311" i="5"/>
  <c r="AP120" i="4"/>
  <c r="AQ120" i="4"/>
  <c r="AC120" i="4"/>
  <c r="AD120" i="4" s="1"/>
  <c r="BJ539" i="5"/>
  <c r="BK539" i="5"/>
  <c r="BK210" i="5"/>
  <c r="BJ210" i="5"/>
  <c r="BJ347" i="5"/>
  <c r="BK347" i="5"/>
  <c r="BK308" i="5"/>
  <c r="BJ308" i="5"/>
  <c r="AR252" i="5"/>
  <c r="BI252" i="5"/>
  <c r="AQ252" i="5"/>
  <c r="AQ260" i="5"/>
  <c r="AR260" i="5"/>
  <c r="BI260" i="5"/>
  <c r="BK26" i="5"/>
  <c r="BJ26" i="5"/>
  <c r="BK441" i="5"/>
  <c r="BJ441" i="5"/>
  <c r="BJ31" i="5"/>
  <c r="BK31" i="5"/>
  <c r="AR154" i="5"/>
  <c r="BI154" i="5"/>
  <c r="AQ154" i="5"/>
  <c r="BJ339" i="5"/>
  <c r="BK339" i="5"/>
  <c r="BJ108" i="5"/>
  <c r="BK108" i="5"/>
  <c r="BJ307" i="5"/>
  <c r="BK307" i="5"/>
  <c r="BI529" i="5"/>
  <c r="AR529" i="5"/>
  <c r="AQ529" i="5"/>
  <c r="BK141" i="5"/>
  <c r="BJ141" i="5"/>
  <c r="BJ251" i="5"/>
  <c r="BK251" i="5"/>
  <c r="BK119" i="5"/>
  <c r="BJ119" i="5"/>
  <c r="BJ72" i="5"/>
  <c r="BK72" i="5"/>
  <c r="BK86" i="5"/>
  <c r="BJ86" i="5"/>
  <c r="BJ65" i="5"/>
  <c r="BK65" i="5"/>
  <c r="BI68" i="5"/>
  <c r="AR68" i="5"/>
  <c r="AQ68" i="5"/>
  <c r="BJ396" i="5"/>
  <c r="BK396" i="5"/>
  <c r="BJ90" i="5"/>
  <c r="BK90" i="5"/>
  <c r="BK83" i="5"/>
  <c r="BJ83" i="5"/>
  <c r="BJ337" i="5"/>
  <c r="BK337" i="5"/>
  <c r="BJ102" i="5"/>
  <c r="BK102" i="5"/>
  <c r="BJ10" i="5"/>
  <c r="BK10" i="5"/>
  <c r="BK332" i="5"/>
  <c r="BJ332" i="5"/>
  <c r="BK301" i="5"/>
  <c r="BJ301" i="5"/>
  <c r="AP47" i="4"/>
  <c r="AQ47" i="4"/>
  <c r="AC47" i="4"/>
  <c r="AD47" i="4" s="1"/>
  <c r="AK138" i="4"/>
  <c r="AL138" i="4" s="1"/>
  <c r="AN138" i="4"/>
  <c r="AF138" i="4"/>
  <c r="AG138" i="4" s="1"/>
  <c r="AI138" i="4" s="1"/>
  <c r="AQ80" i="4"/>
  <c r="AP80" i="4"/>
  <c r="AC80" i="4"/>
  <c r="AD80" i="4" s="1"/>
  <c r="BJ315" i="5"/>
  <c r="BK315" i="5"/>
  <c r="BK402" i="5"/>
  <c r="BJ402" i="5"/>
  <c r="BK254" i="5"/>
  <c r="BJ254" i="5"/>
  <c r="BK57" i="5"/>
  <c r="BJ57" i="5"/>
  <c r="BJ181" i="5"/>
  <c r="BK181" i="5"/>
  <c r="BK313" i="5"/>
  <c r="BJ313" i="5"/>
  <c r="BJ178" i="5"/>
  <c r="BK178" i="5"/>
  <c r="BK185" i="5"/>
  <c r="BJ185" i="5"/>
  <c r="BK317" i="5"/>
  <c r="BJ317" i="5"/>
  <c r="BK179" i="5"/>
  <c r="BJ179" i="5"/>
  <c r="BK183" i="5"/>
  <c r="BJ183" i="5"/>
  <c r="BK111" i="5"/>
  <c r="BJ111" i="5"/>
  <c r="BJ12" i="5"/>
  <c r="BK12" i="5"/>
  <c r="BK273" i="5"/>
  <c r="BJ273" i="5"/>
  <c r="AQ99" i="4"/>
  <c r="AP99" i="4"/>
  <c r="AC99" i="4"/>
  <c r="AD99" i="4" s="1"/>
  <c r="AN91" i="4"/>
  <c r="AK91" i="4"/>
  <c r="AL91" i="4" s="1"/>
  <c r="AF91" i="4"/>
  <c r="AG91" i="4" s="1"/>
  <c r="AI91" i="4" s="1"/>
  <c r="AK46" i="4"/>
  <c r="AL46" i="4" s="1"/>
  <c r="AN46" i="4"/>
  <c r="AF46" i="4"/>
  <c r="AG46" i="4" s="1"/>
  <c r="AI46" i="4" s="1"/>
  <c r="AC9" i="5"/>
  <c r="AC455" i="5"/>
  <c r="AC344" i="5"/>
  <c r="AC96" i="5"/>
  <c r="AC382" i="5"/>
  <c r="AC311" i="5"/>
  <c r="AC534" i="5"/>
  <c r="AC459" i="5"/>
  <c r="AC363" i="5"/>
  <c r="AC58" i="5"/>
  <c r="AC330" i="5"/>
  <c r="AC50" i="5"/>
  <c r="AC313" i="5"/>
  <c r="AC423" i="5"/>
  <c r="AC135" i="5"/>
  <c r="AC142" i="5"/>
  <c r="AC224" i="5"/>
  <c r="AC111" i="5"/>
  <c r="AC439" i="5"/>
  <c r="AC261" i="5"/>
  <c r="AC24" i="5"/>
  <c r="AC71" i="5"/>
  <c r="AC312" i="5"/>
  <c r="AC206" i="5"/>
  <c r="AC257" i="5"/>
  <c r="AC273" i="5"/>
  <c r="AC147" i="5"/>
  <c r="AC140" i="5"/>
  <c r="AC131" i="5"/>
  <c r="AC540" i="5"/>
  <c r="AC400" i="5"/>
  <c r="AC103" i="5"/>
  <c r="AC375" i="5"/>
  <c r="AC357" i="5"/>
  <c r="AC502" i="5"/>
  <c r="AC361" i="5"/>
  <c r="AC390" i="5"/>
  <c r="AC553" i="5"/>
  <c r="AC102" i="5"/>
  <c r="AC52" i="5"/>
  <c r="AC338" i="5"/>
  <c r="AC221" i="5"/>
  <c r="AC467" i="5"/>
  <c r="AC26" i="5"/>
  <c r="AC226" i="5"/>
  <c r="AC446" i="5"/>
  <c r="AC158" i="5"/>
  <c r="AC436" i="5"/>
  <c r="AC550" i="5"/>
  <c r="AC165" i="5"/>
  <c r="AC202" i="5"/>
  <c r="AC368" i="5"/>
  <c r="AC80" i="5"/>
  <c r="AC278" i="5"/>
  <c r="AC464" i="5"/>
  <c r="AC478" i="5"/>
  <c r="AC463" i="5"/>
  <c r="AC376" i="5"/>
  <c r="AC387" i="5"/>
  <c r="AC183" i="5"/>
  <c r="AC108" i="5"/>
  <c r="AC422" i="5"/>
  <c r="AC184" i="5"/>
  <c r="AC197" i="5"/>
  <c r="AC84" i="5"/>
  <c r="AC294" i="5"/>
  <c r="AC498" i="5"/>
  <c r="AC385" i="5"/>
  <c r="AC380" i="5"/>
  <c r="AC499" i="5"/>
  <c r="AC298" i="5"/>
  <c r="AC409" i="5"/>
  <c r="AC113" i="5"/>
  <c r="AC148" i="5"/>
  <c r="AC107" i="5"/>
  <c r="AC391" i="5"/>
  <c r="AC489" i="5"/>
  <c r="AC43" i="5"/>
  <c r="AC360" i="5"/>
  <c r="AC101" i="5"/>
  <c r="AC30" i="5"/>
  <c r="AC337" i="5"/>
  <c r="AC40" i="5"/>
  <c r="AC172" i="5"/>
  <c r="AC379" i="5"/>
  <c r="AC408" i="5"/>
  <c r="AC116" i="5"/>
  <c r="AC518" i="5"/>
  <c r="AC276" i="5"/>
  <c r="AC175" i="5"/>
  <c r="AC528" i="5"/>
  <c r="AC384" i="5"/>
  <c r="AC451" i="5"/>
  <c r="AC441" i="5"/>
  <c r="AC56" i="5"/>
  <c r="AC91" i="5"/>
  <c r="AC438" i="5"/>
  <c r="AC416" i="5"/>
  <c r="AC109" i="5"/>
  <c r="AC364" i="5"/>
  <c r="AC13" i="5"/>
  <c r="AC319" i="5"/>
  <c r="AC300" i="5"/>
  <c r="AC69" i="5"/>
  <c r="AC442" i="5"/>
  <c r="AC462" i="5"/>
  <c r="AC42" i="5"/>
  <c r="AC64" i="5"/>
  <c r="AC123" i="5"/>
  <c r="AC537" i="5"/>
  <c r="AC521" i="5"/>
  <c r="AC447" i="5"/>
  <c r="AC350" i="5"/>
  <c r="AC369" i="5"/>
  <c r="AC115" i="5"/>
  <c r="AC27" i="5"/>
  <c r="AC149" i="5"/>
  <c r="AC373" i="5"/>
  <c r="AC504" i="5"/>
  <c r="AC180" i="5"/>
  <c r="AC34" i="5"/>
  <c r="AC119" i="5"/>
  <c r="AC242" i="5"/>
  <c r="AC299" i="5"/>
  <c r="AC466" i="5"/>
  <c r="AC272" i="5"/>
  <c r="AC514" i="5"/>
  <c r="AC559" i="5"/>
  <c r="AC62" i="5"/>
  <c r="AC560" i="5"/>
  <c r="AC77" i="5"/>
  <c r="AC37" i="5"/>
  <c r="AC405" i="5"/>
  <c r="AC468" i="5"/>
  <c r="AC256" i="5"/>
  <c r="AC348" i="5"/>
  <c r="AC46" i="5"/>
  <c r="AQ100" i="4"/>
  <c r="AP100" i="4"/>
  <c r="AC100" i="4"/>
  <c r="AD100" i="4" s="1"/>
  <c r="AN139" i="4"/>
  <c r="AK139" i="4"/>
  <c r="AL139" i="4" s="1"/>
  <c r="AF139" i="4"/>
  <c r="AG139" i="4" s="1"/>
  <c r="AI139" i="4" s="1"/>
  <c r="BJ359" i="5"/>
  <c r="BK359" i="5"/>
  <c r="BK244" i="5"/>
  <c r="BJ244" i="5"/>
  <c r="BK171" i="5"/>
  <c r="BJ171" i="5"/>
  <c r="BK266" i="5"/>
  <c r="BJ266" i="5"/>
  <c r="BK227" i="5"/>
  <c r="BJ227" i="5"/>
  <c r="BK523" i="5"/>
  <c r="BJ245" i="5"/>
  <c r="BK245" i="5"/>
  <c r="BJ412" i="5"/>
  <c r="BK412" i="5"/>
  <c r="BJ278" i="5"/>
  <c r="BK278" i="5"/>
  <c r="BJ408" i="5"/>
  <c r="BK408" i="5"/>
  <c r="AQ394" i="5"/>
  <c r="AR394" i="5"/>
  <c r="BI394" i="5"/>
  <c r="BK201" i="5"/>
  <c r="BJ201" i="5"/>
  <c r="BK134" i="5"/>
  <c r="BJ134" i="5"/>
  <c r="BK403" i="5"/>
  <c r="BJ403" i="5"/>
  <c r="BK516" i="5"/>
  <c r="BJ516" i="5"/>
  <c r="BK87" i="5"/>
  <c r="BJ87" i="5"/>
  <c r="BJ125" i="5"/>
  <c r="BK125" i="5"/>
  <c r="BJ469" i="5"/>
  <c r="BK469" i="5"/>
  <c r="BJ522" i="5"/>
  <c r="BK522" i="5"/>
  <c r="AQ444" i="5"/>
  <c r="AR444" i="5"/>
  <c r="BI444" i="5"/>
  <c r="BJ41" i="5"/>
  <c r="BK41" i="5"/>
  <c r="BJ433" i="5"/>
  <c r="BK433" i="5"/>
  <c r="BJ109" i="5"/>
  <c r="BK109" i="5"/>
  <c r="BJ235" i="5"/>
  <c r="BK235" i="5"/>
  <c r="BK173" i="5"/>
  <c r="BJ173" i="5"/>
  <c r="BJ501" i="5"/>
  <c r="BK501" i="5"/>
  <c r="BI159" i="5"/>
  <c r="AQ159" i="5"/>
  <c r="AR159" i="5"/>
  <c r="BJ397" i="5"/>
  <c r="BK397" i="5"/>
  <c r="BK61" i="5"/>
  <c r="BJ61" i="5"/>
  <c r="BK195" i="5"/>
  <c r="BJ195" i="5"/>
  <c r="BK101" i="5"/>
  <c r="BJ101" i="5"/>
  <c r="BK59" i="5"/>
  <c r="BJ59" i="5"/>
  <c r="BK331" i="5"/>
  <c r="BJ331" i="5"/>
  <c r="BJ327" i="5"/>
  <c r="BK327" i="5"/>
  <c r="BK97" i="5"/>
  <c r="BJ97" i="5"/>
  <c r="BJ534" i="5"/>
  <c r="BK534" i="5"/>
  <c r="BJ105" i="5"/>
  <c r="BK105" i="5"/>
  <c r="AN87" i="4"/>
  <c r="AK87" i="4"/>
  <c r="AL87" i="4" s="1"/>
  <c r="AF87" i="4"/>
  <c r="AG87" i="4" s="1"/>
  <c r="AI87" i="4" s="1"/>
  <c r="AQ76" i="4"/>
  <c r="AP76" i="4"/>
  <c r="AC76" i="4"/>
  <c r="AD76" i="4" s="1"/>
  <c r="AP78" i="4"/>
  <c r="AQ78" i="4"/>
  <c r="AC78" i="4"/>
  <c r="AD78" i="4" s="1"/>
  <c r="AN47" i="4"/>
  <c r="AK47" i="4"/>
  <c r="AL47" i="4" s="1"/>
  <c r="AF47" i="4"/>
  <c r="AG47" i="4" s="1"/>
  <c r="AI47" i="4" s="1"/>
  <c r="AQ27" i="4"/>
  <c r="AC27" i="4"/>
  <c r="AD27" i="4" s="1"/>
  <c r="AK35" i="4"/>
  <c r="AL35" i="4" s="1"/>
  <c r="AN35" i="4"/>
  <c r="AF35" i="4"/>
  <c r="AG35" i="4" s="1"/>
  <c r="AI35" i="4" s="1"/>
  <c r="AK10" i="4"/>
  <c r="AL10" i="4" s="1"/>
  <c r="AN10" i="4"/>
  <c r="AF10" i="4"/>
  <c r="AG10" i="4" s="1"/>
  <c r="AI10" i="4" s="1"/>
  <c r="AK80" i="4"/>
  <c r="AL80" i="4" s="1"/>
  <c r="AN80" i="4"/>
  <c r="AF80" i="4"/>
  <c r="AG80" i="4" s="1"/>
  <c r="AI80" i="4" s="1"/>
  <c r="BJ335" i="5"/>
  <c r="BK335" i="5"/>
  <c r="BK296" i="5"/>
  <c r="BJ296" i="5"/>
  <c r="BK198" i="5"/>
  <c r="BK492" i="5"/>
  <c r="BJ492" i="5"/>
  <c r="AF16" i="4"/>
  <c r="AG16" i="4" s="1"/>
  <c r="AI16" i="4" s="1"/>
  <c r="AN16" i="4"/>
  <c r="AK16" i="4"/>
  <c r="AL16" i="4" s="1"/>
  <c r="BJ538" i="5"/>
  <c r="BK538" i="5"/>
  <c r="BJ546" i="5"/>
  <c r="BK546" i="5"/>
  <c r="BJ58" i="5"/>
  <c r="BK58" i="5"/>
  <c r="BJ533" i="5"/>
  <c r="BK533" i="5"/>
  <c r="BK448" i="5"/>
  <c r="BJ448" i="5"/>
  <c r="BJ489" i="5"/>
  <c r="BK489" i="5"/>
  <c r="BK515" i="5"/>
  <c r="BJ515" i="5"/>
  <c r="BK78" i="5"/>
  <c r="BJ78" i="5"/>
  <c r="BJ366" i="5" l="1"/>
  <c r="BK62" i="5"/>
  <c r="AP85" i="4"/>
  <c r="AF55" i="4"/>
  <c r="AG55" i="4" s="1"/>
  <c r="AI55" i="4" s="1"/>
  <c r="AQ108" i="4"/>
  <c r="AK55" i="4"/>
  <c r="AL55" i="4" s="1"/>
  <c r="AP34" i="4"/>
  <c r="AC86" i="4"/>
  <c r="AD86" i="4" s="1"/>
  <c r="AP28" i="4"/>
  <c r="BJ24" i="5"/>
  <c r="BK99" i="5"/>
  <c r="AQ28" i="4"/>
  <c r="AC34" i="4"/>
  <c r="AD34" i="4" s="1"/>
  <c r="AF140" i="4"/>
  <c r="AG140" i="4" s="1"/>
  <c r="AI140" i="4" s="1"/>
  <c r="AC101" i="4"/>
  <c r="AD101" i="4" s="1"/>
  <c r="AP86" i="4"/>
  <c r="AN140" i="4"/>
  <c r="AO140" i="4" s="1"/>
  <c r="AQ101" i="4"/>
  <c r="BK129" i="5"/>
  <c r="AQ97" i="4"/>
  <c r="AF127" i="4"/>
  <c r="AG127" i="4" s="1"/>
  <c r="AI127" i="4" s="1"/>
  <c r="AP97" i="4"/>
  <c r="AK127" i="4"/>
  <c r="AL127" i="4" s="1"/>
  <c r="AK155" i="4"/>
  <c r="AL155" i="4" s="1"/>
  <c r="AF155" i="4"/>
  <c r="AG155" i="4" s="1"/>
  <c r="AI155" i="4" s="1"/>
  <c r="BJ120" i="5"/>
  <c r="AQ19" i="4"/>
  <c r="AF78" i="4"/>
  <c r="AG78" i="4" s="1"/>
  <c r="AI78" i="4" s="1"/>
  <c r="AC19" i="4"/>
  <c r="AD19" i="4" s="1"/>
  <c r="AN78" i="4"/>
  <c r="BK324" i="5"/>
  <c r="AF123" i="4"/>
  <c r="AG123" i="4" s="1"/>
  <c r="AI123" i="4" s="1"/>
  <c r="AN56" i="4"/>
  <c r="BK424" i="5"/>
  <c r="AK56" i="4"/>
  <c r="AL56" i="4" s="1"/>
  <c r="AC21" i="4"/>
  <c r="AD21" i="4" s="1"/>
  <c r="AF75" i="4"/>
  <c r="AG75" i="4" s="1"/>
  <c r="AI75" i="4" s="1"/>
  <c r="BJ155" i="5"/>
  <c r="AP21" i="4"/>
  <c r="AK75" i="4"/>
  <c r="AL75" i="4" s="1"/>
  <c r="AC124" i="4"/>
  <c r="AD124" i="4" s="1"/>
  <c r="AP124" i="4"/>
  <c r="AF156" i="4"/>
  <c r="AG156" i="4" s="1"/>
  <c r="AI156" i="4" s="1"/>
  <c r="BJ91" i="5"/>
  <c r="AN156" i="4"/>
  <c r="BK204" i="5"/>
  <c r="BK475" i="5"/>
  <c r="BK389" i="5"/>
  <c r="BK249" i="5"/>
  <c r="BK7" i="5"/>
  <c r="BK470" i="5"/>
  <c r="BK94" i="5"/>
  <c r="BJ188" i="5"/>
  <c r="BJ362" i="5"/>
  <c r="BJ427" i="5"/>
  <c r="BK63" i="5"/>
  <c r="BJ30" i="5"/>
  <c r="BJ212" i="5"/>
  <c r="BJ449" i="5"/>
  <c r="BK248" i="5"/>
  <c r="BK303" i="5"/>
  <c r="BK27" i="5"/>
  <c r="BK233" i="5"/>
  <c r="BJ488" i="5"/>
  <c r="BJ390" i="5"/>
  <c r="BJ42" i="5"/>
  <c r="BK230" i="5"/>
  <c r="BJ203" i="5"/>
  <c r="BK187" i="5"/>
  <c r="BK158" i="5"/>
  <c r="BK425" i="5"/>
  <c r="BJ69" i="5"/>
  <c r="BK163" i="5"/>
  <c r="BK152" i="5"/>
  <c r="BK451" i="5"/>
  <c r="BJ79" i="5"/>
  <c r="BJ236" i="5"/>
  <c r="BJ502" i="5"/>
  <c r="BK290" i="5"/>
  <c r="BJ310" i="5"/>
  <c r="BJ288" i="5"/>
  <c r="BJ214" i="5"/>
  <c r="BK393" i="5"/>
  <c r="AN126" i="4"/>
  <c r="BJ123" i="5"/>
  <c r="BK472" i="5"/>
  <c r="AF109" i="4"/>
  <c r="AG109" i="4" s="1"/>
  <c r="AI109" i="4" s="1"/>
  <c r="BJ258" i="5"/>
  <c r="AN109" i="4"/>
  <c r="AO109" i="4" s="1"/>
  <c r="BK19" i="5"/>
  <c r="BK422" i="5"/>
  <c r="BJ352" i="5"/>
  <c r="BK473" i="5"/>
  <c r="AF126" i="4"/>
  <c r="AG126" i="4" s="1"/>
  <c r="AI126" i="4" s="1"/>
  <c r="AC145" i="4"/>
  <c r="AD145" i="4" s="1"/>
  <c r="BK272" i="5"/>
  <c r="BK505" i="5"/>
  <c r="AF145" i="4"/>
  <c r="AG145" i="4" s="1"/>
  <c r="AI145" i="4" s="1"/>
  <c r="AN145" i="4"/>
  <c r="AN92" i="4"/>
  <c r="AO92" i="4" s="1"/>
  <c r="BK334" i="5"/>
  <c r="AF92" i="4"/>
  <c r="AG92" i="4" s="1"/>
  <c r="AI92" i="4" s="1"/>
  <c r="BK355" i="5"/>
  <c r="AQ35" i="4"/>
  <c r="AC29" i="4"/>
  <c r="AD29" i="4" s="1"/>
  <c r="AC35" i="4"/>
  <c r="AD35" i="4" s="1"/>
  <c r="AQ29" i="4"/>
  <c r="BJ180" i="5"/>
  <c r="AF62" i="4"/>
  <c r="AG62" i="4" s="1"/>
  <c r="AI62" i="4" s="1"/>
  <c r="BK450" i="5"/>
  <c r="AP54" i="4"/>
  <c r="AC54" i="4"/>
  <c r="AD54" i="4" s="1"/>
  <c r="AQ114" i="4"/>
  <c r="AN105" i="4"/>
  <c r="AO105" i="4" s="1"/>
  <c r="BK353" i="5"/>
  <c r="AP151" i="4"/>
  <c r="AQ30" i="4"/>
  <c r="BK287" i="5"/>
  <c r="BK364" i="5"/>
  <c r="BJ458" i="5"/>
  <c r="AC152" i="4"/>
  <c r="AD152" i="4" s="1"/>
  <c r="AP30" i="4"/>
  <c r="BK519" i="5"/>
  <c r="AN117" i="4"/>
  <c r="AO117" i="4" s="1"/>
  <c r="B189" i="2"/>
  <c r="B224" i="2" s="1"/>
  <c r="F69" i="1" s="1"/>
  <c r="BK174" i="5"/>
  <c r="AK31" i="4"/>
  <c r="AL31" i="4" s="1"/>
  <c r="AO31" i="4" s="1"/>
  <c r="BJ95" i="5"/>
  <c r="BJ314" i="5"/>
  <c r="BJ221" i="5"/>
  <c r="BK548" i="5"/>
  <c r="AF54" i="4"/>
  <c r="AG54" i="4" s="1"/>
  <c r="AI54" i="4" s="1"/>
  <c r="AN63" i="4"/>
  <c r="AO63" i="4" s="1"/>
  <c r="AQ128" i="4"/>
  <c r="AK108" i="4"/>
  <c r="AL108" i="4" s="1"/>
  <c r="BK302" i="5"/>
  <c r="AQ152" i="4"/>
  <c r="AK54" i="4"/>
  <c r="AL54" i="4" s="1"/>
  <c r="AO54" i="4" s="1"/>
  <c r="BK104" i="5"/>
  <c r="AC75" i="4"/>
  <c r="AD75" i="4" s="1"/>
  <c r="AQ75" i="4"/>
  <c r="BJ131" i="5"/>
  <c r="AP32" i="4"/>
  <c r="AQ32" i="4"/>
  <c r="AC26" i="4"/>
  <c r="AD26" i="4" s="1"/>
  <c r="AA31" i="4"/>
  <c r="AP128" i="4"/>
  <c r="AP26" i="4"/>
  <c r="AN108" i="4"/>
  <c r="AN76" i="4"/>
  <c r="BK371" i="5"/>
  <c r="AQ142" i="4"/>
  <c r="AC142" i="4"/>
  <c r="AD142" i="4" s="1"/>
  <c r="BK107" i="5"/>
  <c r="AQ140" i="4"/>
  <c r="AQ61" i="4"/>
  <c r="AP8" i="4"/>
  <c r="AC151" i="4"/>
  <c r="AD151" i="4" s="1"/>
  <c r="AK90" i="4"/>
  <c r="AL90" i="4" s="1"/>
  <c r="AP113" i="4"/>
  <c r="AQ77" i="4"/>
  <c r="AF106" i="4"/>
  <c r="AG106" i="4" s="1"/>
  <c r="AI106" i="4" s="1"/>
  <c r="AK85" i="4"/>
  <c r="AL85" i="4" s="1"/>
  <c r="AO85" i="4" s="1"/>
  <c r="AU85" i="4" s="1"/>
  <c r="AW85" i="4" s="1"/>
  <c r="AK106" i="4"/>
  <c r="AL106" i="4" s="1"/>
  <c r="AO106" i="4" s="1"/>
  <c r="AC155" i="4"/>
  <c r="AD155" i="4" s="1"/>
  <c r="AQ155" i="4"/>
  <c r="AF134" i="4"/>
  <c r="AG134" i="4" s="1"/>
  <c r="AI134" i="4" s="1"/>
  <c r="AN118" i="4"/>
  <c r="AN134" i="4"/>
  <c r="AO134" i="4" s="1"/>
  <c r="AP105" i="4"/>
  <c r="AC89" i="4"/>
  <c r="AD89" i="4" s="1"/>
  <c r="AN90" i="4"/>
  <c r="AC105" i="4"/>
  <c r="AD105" i="4" s="1"/>
  <c r="AC13" i="4"/>
  <c r="AD13" i="4" s="1"/>
  <c r="AP77" i="4"/>
  <c r="AP11" i="4"/>
  <c r="AP89" i="4"/>
  <c r="AC81" i="4"/>
  <c r="AD81" i="4" s="1"/>
  <c r="AC117" i="4"/>
  <c r="AD117" i="4" s="1"/>
  <c r="AF118" i="4"/>
  <c r="AG118" i="4" s="1"/>
  <c r="AI118" i="4" s="1"/>
  <c r="AC62" i="4"/>
  <c r="AD62" i="4" s="1"/>
  <c r="AC95" i="4"/>
  <c r="AD95" i="4" s="1"/>
  <c r="AQ81" i="4"/>
  <c r="AP117" i="4"/>
  <c r="AQ62" i="4"/>
  <c r="AP95" i="4"/>
  <c r="AC11" i="4"/>
  <c r="AD11" i="4" s="1"/>
  <c r="AC134" i="4"/>
  <c r="AD134" i="4" s="1"/>
  <c r="AQ134" i="4"/>
  <c r="AC148" i="4"/>
  <c r="AD148" i="4" s="1"/>
  <c r="AQ148" i="4"/>
  <c r="AF63" i="4"/>
  <c r="AG63" i="4" s="1"/>
  <c r="AI63" i="4" s="1"/>
  <c r="AN116" i="4"/>
  <c r="AO116" i="4" s="1"/>
  <c r="AF117" i="4"/>
  <c r="AG117" i="4" s="1"/>
  <c r="AI117" i="4" s="1"/>
  <c r="AP129" i="4"/>
  <c r="AP61" i="4"/>
  <c r="AQ129" i="4"/>
  <c r="AF57" i="4"/>
  <c r="AG57" i="4" s="1"/>
  <c r="AI57" i="4" s="1"/>
  <c r="AC149" i="4"/>
  <c r="AD149" i="4" s="1"/>
  <c r="AP149" i="4"/>
  <c r="AC82" i="4"/>
  <c r="AD82" i="4" s="1"/>
  <c r="AP90" i="4"/>
  <c r="AK141" i="4"/>
  <c r="AL141" i="4" s="1"/>
  <c r="AO141" i="4" s="1"/>
  <c r="AP140" i="4"/>
  <c r="AP106" i="4"/>
  <c r="AF149" i="4"/>
  <c r="AG149" i="4" s="1"/>
  <c r="AI149" i="4" s="1"/>
  <c r="AQ13" i="4"/>
  <c r="AK129" i="4"/>
  <c r="AL129" i="4" s="1"/>
  <c r="AO129" i="4" s="1"/>
  <c r="AF133" i="4"/>
  <c r="AG133" i="4" s="1"/>
  <c r="AI133" i="4" s="1"/>
  <c r="AK76" i="4"/>
  <c r="AL76" i="4" s="1"/>
  <c r="AQ106" i="4"/>
  <c r="AN149" i="4"/>
  <c r="AO149" i="4" s="1"/>
  <c r="AF129" i="4"/>
  <c r="AG129" i="4" s="1"/>
  <c r="AI129" i="4" s="1"/>
  <c r="AP66" i="4"/>
  <c r="AQ74" i="4"/>
  <c r="AK133" i="4"/>
  <c r="AL133" i="4" s="1"/>
  <c r="AO133" i="4" s="1"/>
  <c r="AC122" i="4"/>
  <c r="AD122" i="4" s="1"/>
  <c r="AP122" i="4"/>
  <c r="AC141" i="4"/>
  <c r="AD141" i="4" s="1"/>
  <c r="AK62" i="4"/>
  <c r="AL62" i="4" s="1"/>
  <c r="AO62" i="4" s="1"/>
  <c r="AQ10" i="4"/>
  <c r="AQ90" i="4"/>
  <c r="AF141" i="4"/>
  <c r="AG141" i="4" s="1"/>
  <c r="AI141" i="4" s="1"/>
  <c r="AP141" i="4"/>
  <c r="AK60" i="4"/>
  <c r="AL60" i="4" s="1"/>
  <c r="AO60" i="4" s="1"/>
  <c r="AK136" i="4"/>
  <c r="AL136" i="4" s="1"/>
  <c r="AO136" i="4" s="1"/>
  <c r="AC79" i="4"/>
  <c r="AD79" i="4" s="1"/>
  <c r="AC59" i="4"/>
  <c r="AD59" i="4" s="1"/>
  <c r="AF69" i="4"/>
  <c r="AG69" i="4" s="1"/>
  <c r="AI69" i="4" s="1"/>
  <c r="AF61" i="4"/>
  <c r="AG61" i="4" s="1"/>
  <c r="AI61" i="4" s="1"/>
  <c r="AK61" i="4"/>
  <c r="AL61" i="4" s="1"/>
  <c r="AO61" i="4" s="1"/>
  <c r="AK110" i="4"/>
  <c r="AL110" i="4" s="1"/>
  <c r="AO110" i="4" s="1"/>
  <c r="AC63" i="4"/>
  <c r="AD63" i="4" s="1"/>
  <c r="AN112" i="4"/>
  <c r="AO112" i="4" s="1"/>
  <c r="AP63" i="4"/>
  <c r="AF135" i="4"/>
  <c r="AG135" i="4" s="1"/>
  <c r="AI135" i="4" s="1"/>
  <c r="AP108" i="4"/>
  <c r="AF113" i="4"/>
  <c r="AG113" i="4" s="1"/>
  <c r="AI113" i="4" s="1"/>
  <c r="AC69" i="4"/>
  <c r="AD69" i="4" s="1"/>
  <c r="AK135" i="4"/>
  <c r="AL135" i="4" s="1"/>
  <c r="AO135" i="4" s="1"/>
  <c r="AN113" i="4"/>
  <c r="AO113" i="4" s="1"/>
  <c r="AC98" i="4"/>
  <c r="AD98" i="4" s="1"/>
  <c r="AF122" i="4"/>
  <c r="AG122" i="4" s="1"/>
  <c r="AI122" i="4" s="1"/>
  <c r="AP69" i="4"/>
  <c r="AQ98" i="4"/>
  <c r="AQ133" i="4"/>
  <c r="AK122" i="4"/>
  <c r="AL122" i="4" s="1"/>
  <c r="AO122" i="4" s="1"/>
  <c r="AC94" i="4"/>
  <c r="AD94" i="4" s="1"/>
  <c r="AP144" i="4"/>
  <c r="AF74" i="4"/>
  <c r="AG74" i="4" s="1"/>
  <c r="AI74" i="4" s="1"/>
  <c r="AP94" i="4"/>
  <c r="AQ144" i="4"/>
  <c r="AK101" i="4"/>
  <c r="AL101" i="4" s="1"/>
  <c r="AF111" i="4"/>
  <c r="AG111" i="4" s="1"/>
  <c r="AI111" i="4" s="1"/>
  <c r="AK74" i="4"/>
  <c r="AL74" i="4" s="1"/>
  <c r="AO74" i="4" s="1"/>
  <c r="AN101" i="4"/>
  <c r="AN111" i="4"/>
  <c r="AO111" i="4" s="1"/>
  <c r="AC133" i="4"/>
  <c r="AD133" i="4" s="1"/>
  <c r="AQ109" i="4"/>
  <c r="AP9" i="4"/>
  <c r="AP112" i="4"/>
  <c r="AF110" i="4"/>
  <c r="AG110" i="4" s="1"/>
  <c r="AI110" i="4" s="1"/>
  <c r="AC109" i="4"/>
  <c r="AD109" i="4" s="1"/>
  <c r="AF112" i="4"/>
  <c r="AG112" i="4" s="1"/>
  <c r="AI112" i="4" s="1"/>
  <c r="AP67" i="4"/>
  <c r="AK124" i="4"/>
  <c r="AL124" i="4" s="1"/>
  <c r="AQ112" i="4"/>
  <c r="AC12" i="4"/>
  <c r="AD12" i="4" s="1"/>
  <c r="AC137" i="4"/>
  <c r="AD137" i="4" s="1"/>
  <c r="AQ137" i="4"/>
  <c r="AF152" i="4"/>
  <c r="AG152" i="4" s="1"/>
  <c r="AI152" i="4" s="1"/>
  <c r="AK94" i="4"/>
  <c r="AL94" i="4" s="1"/>
  <c r="AN89" i="4"/>
  <c r="AO89" i="4" s="1"/>
  <c r="AK152" i="4"/>
  <c r="AL152" i="4" s="1"/>
  <c r="AO152" i="4" s="1"/>
  <c r="AN94" i="4"/>
  <c r="AQ67" i="4"/>
  <c r="AC18" i="4"/>
  <c r="AD18" i="4" s="1"/>
  <c r="AC74" i="4"/>
  <c r="AD74" i="4" s="1"/>
  <c r="AF93" i="4"/>
  <c r="AG93" i="4" s="1"/>
  <c r="AI93" i="4" s="1"/>
  <c r="AP14" i="4"/>
  <c r="AK93" i="4"/>
  <c r="AL93" i="4" s="1"/>
  <c r="AO93" i="4" s="1"/>
  <c r="AC14" i="4"/>
  <c r="AD14" i="4" s="1"/>
  <c r="AQ8" i="4"/>
  <c r="AQ18" i="4"/>
  <c r="AQ24" i="4"/>
  <c r="AF136" i="4"/>
  <c r="AG136" i="4" s="1"/>
  <c r="AI136" i="4" s="1"/>
  <c r="AK59" i="4"/>
  <c r="AL59" i="4" s="1"/>
  <c r="AF116" i="4"/>
  <c r="AG116" i="4" s="1"/>
  <c r="AI116" i="4" s="1"/>
  <c r="AC93" i="4"/>
  <c r="AD93" i="4" s="1"/>
  <c r="AQ22" i="4"/>
  <c r="AQ136" i="4"/>
  <c r="AF60" i="4"/>
  <c r="AG60" i="4" s="1"/>
  <c r="AI60" i="4" s="1"/>
  <c r="AN59" i="4"/>
  <c r="AP93" i="4"/>
  <c r="AQ79" i="4"/>
  <c r="AP22" i="4"/>
  <c r="AP136" i="4"/>
  <c r="AP59" i="4"/>
  <c r="AC25" i="4"/>
  <c r="AD25" i="4" s="1"/>
  <c r="AK95" i="4"/>
  <c r="AL95" i="4" s="1"/>
  <c r="AO95" i="4" s="1"/>
  <c r="AQ25" i="4"/>
  <c r="AF95" i="4"/>
  <c r="AG95" i="4" s="1"/>
  <c r="AI95" i="4" s="1"/>
  <c r="AF143" i="4"/>
  <c r="AG143" i="4" s="1"/>
  <c r="AI143" i="4" s="1"/>
  <c r="AC60" i="4"/>
  <c r="AD60" i="4" s="1"/>
  <c r="AC24" i="4"/>
  <c r="AD24" i="4" s="1"/>
  <c r="AK143" i="4"/>
  <c r="AL143" i="4" s="1"/>
  <c r="AO143" i="4" s="1"/>
  <c r="AP60" i="4"/>
  <c r="AP135" i="4"/>
  <c r="AQ135" i="4"/>
  <c r="AC113" i="4"/>
  <c r="AD113" i="4" s="1"/>
  <c r="AC66" i="4"/>
  <c r="AD66" i="4" s="1"/>
  <c r="AP96" i="4"/>
  <c r="AK57" i="4"/>
  <c r="AL57" i="4" s="1"/>
  <c r="AO57" i="4" s="1"/>
  <c r="AC57" i="4"/>
  <c r="AD57" i="4" s="1"/>
  <c r="AP57" i="4"/>
  <c r="AK137" i="4"/>
  <c r="AL137" i="4" s="1"/>
  <c r="AF97" i="4"/>
  <c r="AG97" i="4" s="1"/>
  <c r="AI97" i="4" s="1"/>
  <c r="AQ16" i="4"/>
  <c r="AF144" i="4"/>
  <c r="AG144" i="4" s="1"/>
  <c r="AI144" i="4" s="1"/>
  <c r="AC11" i="5"/>
  <c r="AE11" i="5" s="1"/>
  <c r="AN97" i="4"/>
  <c r="AO97" i="4" s="1"/>
  <c r="AC92" i="4"/>
  <c r="AD92" i="4" s="1"/>
  <c r="AN82" i="4"/>
  <c r="AO82" i="4" s="1"/>
  <c r="AP7" i="4"/>
  <c r="AQ7" i="4"/>
  <c r="AC23" i="4"/>
  <c r="AD23" i="4" s="1"/>
  <c r="AN144" i="4"/>
  <c r="AO144" i="4" s="1"/>
  <c r="AP92" i="4"/>
  <c r="AF65" i="4"/>
  <c r="AG65" i="4" s="1"/>
  <c r="AI65" i="4" s="1"/>
  <c r="AF67" i="4"/>
  <c r="AG67" i="4" s="1"/>
  <c r="AI67" i="4" s="1"/>
  <c r="AF77" i="4"/>
  <c r="AG77" i="4" s="1"/>
  <c r="AI77" i="4" s="1"/>
  <c r="AQ23" i="4"/>
  <c r="AC111" i="4"/>
  <c r="AD111" i="4" s="1"/>
  <c r="AK65" i="4"/>
  <c r="AL65" i="4" s="1"/>
  <c r="AO65" i="4" s="1"/>
  <c r="AN67" i="4"/>
  <c r="AO67" i="4" s="1"/>
  <c r="AK77" i="4"/>
  <c r="AL77" i="4" s="1"/>
  <c r="AO77" i="4" s="1"/>
  <c r="AF128" i="4"/>
  <c r="AG128" i="4" s="1"/>
  <c r="AI128" i="4" s="1"/>
  <c r="AK81" i="4"/>
  <c r="AL81" i="4" s="1"/>
  <c r="AO81" i="4" s="1"/>
  <c r="AQ111" i="4"/>
  <c r="AN128" i="4"/>
  <c r="AO128" i="4" s="1"/>
  <c r="AF81" i="4"/>
  <c r="AG81" i="4" s="1"/>
  <c r="AI81" i="4" s="1"/>
  <c r="AC156" i="4"/>
  <c r="AD156" i="4" s="1"/>
  <c r="AF98" i="4"/>
  <c r="AG98" i="4" s="1"/>
  <c r="AI98" i="4" s="1"/>
  <c r="AF79" i="4"/>
  <c r="AG79" i="4" s="1"/>
  <c r="AI79" i="4" s="1"/>
  <c r="AP156" i="4"/>
  <c r="AP16" i="4"/>
  <c r="AF82" i="4"/>
  <c r="AG82" i="4" s="1"/>
  <c r="AI82" i="4" s="1"/>
  <c r="AN98" i="4"/>
  <c r="AO98" i="4" s="1"/>
  <c r="AK79" i="4"/>
  <c r="AL79" i="4" s="1"/>
  <c r="AO79" i="4" s="1"/>
  <c r="AO18" i="4"/>
  <c r="AC102" i="4"/>
  <c r="AD102" i="4" s="1"/>
  <c r="AP143" i="4"/>
  <c r="AN137" i="4"/>
  <c r="AP102" i="4"/>
  <c r="AC143" i="4"/>
  <c r="AD143" i="4" s="1"/>
  <c r="AN66" i="4"/>
  <c r="AN121" i="4"/>
  <c r="AO121" i="4" s="1"/>
  <c r="AF102" i="4"/>
  <c r="AG102" i="4" s="1"/>
  <c r="AI102" i="4" s="1"/>
  <c r="AK66" i="4"/>
  <c r="AL66" i="4" s="1"/>
  <c r="AF121" i="4"/>
  <c r="AG121" i="4" s="1"/>
  <c r="AI121" i="4" s="1"/>
  <c r="AP118" i="4"/>
  <c r="AP20" i="4"/>
  <c r="AK102" i="4"/>
  <c r="AL102" i="4" s="1"/>
  <c r="AO102" i="4" s="1"/>
  <c r="AC15" i="4"/>
  <c r="AD15" i="4" s="1"/>
  <c r="AC118" i="4"/>
  <c r="AD118" i="4" s="1"/>
  <c r="AP65" i="4"/>
  <c r="AC20" i="4"/>
  <c r="AD20" i="4" s="1"/>
  <c r="AP15" i="4"/>
  <c r="AC65" i="4"/>
  <c r="AD65" i="4" s="1"/>
  <c r="AC96" i="4"/>
  <c r="AD96" i="4" s="1"/>
  <c r="AP116" i="4"/>
  <c r="AQ9" i="4"/>
  <c r="AP12" i="4"/>
  <c r="AN124" i="4"/>
  <c r="AQ116" i="4"/>
  <c r="AF96" i="4"/>
  <c r="AG96" i="4" s="1"/>
  <c r="AI96" i="4" s="1"/>
  <c r="AC121" i="4"/>
  <c r="AD121" i="4" s="1"/>
  <c r="AK96" i="4"/>
  <c r="AL96" i="4" s="1"/>
  <c r="AO96" i="4" s="1"/>
  <c r="AQ121" i="4"/>
  <c r="AO107" i="4"/>
  <c r="AU107" i="4" s="1"/>
  <c r="AW107" i="4" s="1"/>
  <c r="AF125" i="4"/>
  <c r="AG125" i="4" s="1"/>
  <c r="AI125" i="4" s="1"/>
  <c r="AF89" i="4"/>
  <c r="AG89" i="4" s="1"/>
  <c r="AI89" i="4" s="1"/>
  <c r="AK125" i="4"/>
  <c r="AL125" i="4" s="1"/>
  <c r="AO125" i="4" s="1"/>
  <c r="AO150" i="4"/>
  <c r="AU150" i="4" s="1"/>
  <c r="AW150" i="4" s="1"/>
  <c r="AO34" i="4"/>
  <c r="AU34" i="4" s="1"/>
  <c r="AW34" i="4" s="1"/>
  <c r="AO157" i="4"/>
  <c r="AU157" i="4" s="1"/>
  <c r="AW157" i="4" s="1"/>
  <c r="AO58" i="4"/>
  <c r="AU58" i="4" s="1"/>
  <c r="AW58" i="4" s="1"/>
  <c r="AO22" i="4"/>
  <c r="AO48" i="4"/>
  <c r="AU48" i="4" s="1"/>
  <c r="AW48" i="4" s="1"/>
  <c r="AO130" i="4"/>
  <c r="AU130" i="4" s="1"/>
  <c r="AW130" i="4" s="1"/>
  <c r="AO155" i="4"/>
  <c r="AO26" i="4"/>
  <c r="AO132" i="4"/>
  <c r="AU132" i="4" s="1"/>
  <c r="AW132" i="4" s="1"/>
  <c r="AO7" i="4"/>
  <c r="AO19" i="4"/>
  <c r="AO127" i="4"/>
  <c r="AO11" i="4"/>
  <c r="AO103" i="4"/>
  <c r="AU103" i="4" s="1"/>
  <c r="AW103" i="4" s="1"/>
  <c r="AO87" i="4"/>
  <c r="AU87" i="4" s="1"/>
  <c r="AW87" i="4" s="1"/>
  <c r="AO91" i="4"/>
  <c r="AU91" i="4" s="1"/>
  <c r="AW91" i="4" s="1"/>
  <c r="AO138" i="4"/>
  <c r="AU138" i="4" s="1"/>
  <c r="AW138" i="4" s="1"/>
  <c r="AO78" i="4"/>
  <c r="AU78" i="4" s="1"/>
  <c r="AW78" i="4" s="1"/>
  <c r="AO80" i="4"/>
  <c r="AU80" i="4" s="1"/>
  <c r="AW80" i="4" s="1"/>
  <c r="BF418" i="5"/>
  <c r="BH418" i="5" s="1"/>
  <c r="BM418" i="5" s="1"/>
  <c r="AO16" i="4"/>
  <c r="AO9" i="4"/>
  <c r="AO53" i="4"/>
  <c r="AU53" i="4" s="1"/>
  <c r="AW53" i="4" s="1"/>
  <c r="AO42" i="4"/>
  <c r="AU42" i="4" s="1"/>
  <c r="AW42" i="4" s="1"/>
  <c r="AO32" i="4"/>
  <c r="AO21" i="4"/>
  <c r="AE418" i="5"/>
  <c r="AO123" i="4"/>
  <c r="AU123" i="4" s="1"/>
  <c r="AW123" i="4" s="1"/>
  <c r="AO72" i="4"/>
  <c r="AU72" i="4" s="1"/>
  <c r="AW72" i="4" s="1"/>
  <c r="AO38" i="4"/>
  <c r="AU38" i="4" s="1"/>
  <c r="AW38" i="4" s="1"/>
  <c r="AO52" i="4"/>
  <c r="AU52" i="4" s="1"/>
  <c r="AW52" i="4" s="1"/>
  <c r="AO86" i="4"/>
  <c r="AU86" i="4" s="1"/>
  <c r="AW86" i="4" s="1"/>
  <c r="AO147" i="4"/>
  <c r="AU147" i="4" s="1"/>
  <c r="AW147" i="4" s="1"/>
  <c r="AO88" i="4"/>
  <c r="AU88" i="4" s="1"/>
  <c r="AW88" i="4" s="1"/>
  <c r="AO55" i="4"/>
  <c r="AU55" i="4" s="1"/>
  <c r="AW55" i="4" s="1"/>
  <c r="AO49" i="4"/>
  <c r="AU49" i="4" s="1"/>
  <c r="AW49" i="4" s="1"/>
  <c r="AO73" i="4"/>
  <c r="AU73" i="4" s="1"/>
  <c r="AW73" i="4" s="1"/>
  <c r="AO151" i="4"/>
  <c r="AO15" i="4"/>
  <c r="AO8" i="4"/>
  <c r="AO24" i="4"/>
  <c r="AO36" i="4"/>
  <c r="AU36" i="4" s="1"/>
  <c r="AW36" i="4" s="1"/>
  <c r="AO40" i="4"/>
  <c r="AU40" i="4" s="1"/>
  <c r="AW40" i="4" s="1"/>
  <c r="AO68" i="4"/>
  <c r="AU68" i="4" s="1"/>
  <c r="AW68" i="4" s="1"/>
  <c r="AO13" i="4"/>
  <c r="AO10" i="4"/>
  <c r="AO27" i="4"/>
  <c r="AU27" i="4" s="1"/>
  <c r="AW27" i="4" s="1"/>
  <c r="AO50" i="4"/>
  <c r="AU50" i="4" s="1"/>
  <c r="AW50" i="4" s="1"/>
  <c r="AO20" i="4"/>
  <c r="AO84" i="4"/>
  <c r="AU84" i="4" s="1"/>
  <c r="AW84" i="4" s="1"/>
  <c r="AO37" i="4"/>
  <c r="AU37" i="4" s="1"/>
  <c r="AW37" i="4" s="1"/>
  <c r="AO12" i="4"/>
  <c r="AO45" i="4"/>
  <c r="AU45" i="4" s="1"/>
  <c r="AW45" i="4" s="1"/>
  <c r="AO25" i="4"/>
  <c r="AD559" i="5"/>
  <c r="BF559" i="5"/>
  <c r="AE559" i="5"/>
  <c r="AD27" i="5"/>
  <c r="BF27" i="5"/>
  <c r="AE27" i="5"/>
  <c r="AD69" i="5"/>
  <c r="BF69" i="5"/>
  <c r="AE69" i="5"/>
  <c r="AE384" i="5"/>
  <c r="AD384" i="5"/>
  <c r="BF384" i="5"/>
  <c r="AE101" i="5"/>
  <c r="AD101" i="5"/>
  <c r="BF101" i="5"/>
  <c r="BF391" i="5"/>
  <c r="AE391" i="5"/>
  <c r="AD391" i="5"/>
  <c r="AE409" i="5"/>
  <c r="AD409" i="5"/>
  <c r="BF409" i="5"/>
  <c r="AD385" i="5"/>
  <c r="AE385" i="5"/>
  <c r="BF385" i="5"/>
  <c r="AE197" i="5"/>
  <c r="AD197" i="5"/>
  <c r="BF197" i="5"/>
  <c r="AE183" i="5"/>
  <c r="AD183" i="5"/>
  <c r="BF183" i="5"/>
  <c r="AE478" i="5"/>
  <c r="BF478" i="5"/>
  <c r="AD478" i="5"/>
  <c r="AE368" i="5"/>
  <c r="AD368" i="5"/>
  <c r="BF368" i="5"/>
  <c r="AE436" i="5"/>
  <c r="AD436" i="5"/>
  <c r="BF436" i="5"/>
  <c r="AD26" i="5"/>
  <c r="AE26" i="5"/>
  <c r="BF26" i="5"/>
  <c r="BF52" i="5"/>
  <c r="AE52" i="5"/>
  <c r="AD52" i="5"/>
  <c r="AD361" i="5"/>
  <c r="BF361" i="5"/>
  <c r="AE361" i="5"/>
  <c r="AD103" i="5"/>
  <c r="AE103" i="5"/>
  <c r="BF103" i="5"/>
  <c r="AD140" i="5"/>
  <c r="BF140" i="5"/>
  <c r="AE140" i="5"/>
  <c r="AE206" i="5"/>
  <c r="BF206" i="5"/>
  <c r="AD206" i="5"/>
  <c r="AE261" i="5"/>
  <c r="AD261" i="5"/>
  <c r="BF261" i="5"/>
  <c r="BF142" i="5"/>
  <c r="AD142" i="5"/>
  <c r="AE142" i="5"/>
  <c r="BF50" i="5"/>
  <c r="AE50" i="5"/>
  <c r="AD50" i="5"/>
  <c r="AE459" i="5"/>
  <c r="BF459" i="5"/>
  <c r="AD459" i="5"/>
  <c r="BF96" i="5"/>
  <c r="AD96" i="5"/>
  <c r="AE96" i="5"/>
  <c r="BK260" i="5"/>
  <c r="BJ260" i="5"/>
  <c r="BK252" i="5"/>
  <c r="BJ252" i="5"/>
  <c r="AD297" i="5"/>
  <c r="AE297" i="5"/>
  <c r="BF297" i="5"/>
  <c r="AD97" i="5"/>
  <c r="AE97" i="5"/>
  <c r="BF97" i="5"/>
  <c r="AD358" i="5"/>
  <c r="AE358" i="5"/>
  <c r="BF358" i="5"/>
  <c r="AD260" i="5"/>
  <c r="AE260" i="5"/>
  <c r="BF260" i="5"/>
  <c r="AD38" i="5"/>
  <c r="BF38" i="5"/>
  <c r="AE38" i="5"/>
  <c r="BF141" i="5"/>
  <c r="AE141" i="5"/>
  <c r="AD141" i="5"/>
  <c r="AD45" i="5"/>
  <c r="BF45" i="5"/>
  <c r="AE45" i="5"/>
  <c r="AD265" i="5"/>
  <c r="AE265" i="5"/>
  <c r="BF265" i="5"/>
  <c r="AD531" i="5"/>
  <c r="BF531" i="5"/>
  <c r="AE531" i="5"/>
  <c r="BF513" i="5"/>
  <c r="AD513" i="5"/>
  <c r="AE513" i="5"/>
  <c r="AE134" i="5"/>
  <c r="BF134" i="5"/>
  <c r="AD134" i="5"/>
  <c r="BF104" i="5"/>
  <c r="AD104" i="5"/>
  <c r="AE104" i="5"/>
  <c r="AE479" i="5"/>
  <c r="AD479" i="5"/>
  <c r="BF479" i="5"/>
  <c r="BF122" i="5"/>
  <c r="AD122" i="5"/>
  <c r="AE122" i="5"/>
  <c r="BF383" i="5"/>
  <c r="AE383" i="5"/>
  <c r="AD383" i="5"/>
  <c r="AD519" i="5"/>
  <c r="AE519" i="5"/>
  <c r="BF519" i="5"/>
  <c r="AD470" i="5"/>
  <c r="AE470" i="5"/>
  <c r="BF470" i="5"/>
  <c r="BF139" i="5"/>
  <c r="AE139" i="5"/>
  <c r="AD139" i="5"/>
  <c r="AD208" i="5"/>
  <c r="BF208" i="5"/>
  <c r="AE208" i="5"/>
  <c r="AE308" i="5"/>
  <c r="AD308" i="5"/>
  <c r="BF308" i="5"/>
  <c r="BF510" i="5"/>
  <c r="AD510" i="5"/>
  <c r="AE510" i="5"/>
  <c r="AD552" i="5"/>
  <c r="AE552" i="5"/>
  <c r="BF552" i="5"/>
  <c r="BF182" i="5"/>
  <c r="AD182" i="5"/>
  <c r="AE182" i="5"/>
  <c r="AE20" i="5"/>
  <c r="BF20" i="5"/>
  <c r="AD20" i="5"/>
  <c r="AE516" i="5"/>
  <c r="AD516" i="5"/>
  <c r="BF516" i="5"/>
  <c r="AD205" i="5"/>
  <c r="BF205" i="5"/>
  <c r="AE205" i="5"/>
  <c r="AE106" i="5"/>
  <c r="BF106" i="5"/>
  <c r="AD106" i="5"/>
  <c r="AE318" i="5"/>
  <c r="BF318" i="5"/>
  <c r="AD318" i="5"/>
  <c r="AE334" i="5"/>
  <c r="BF334" i="5"/>
  <c r="AD334" i="5"/>
  <c r="AE157" i="5"/>
  <c r="BF157" i="5"/>
  <c r="AD157" i="5"/>
  <c r="AE503" i="5"/>
  <c r="BF503" i="5"/>
  <c r="AD503" i="5"/>
  <c r="AD232" i="5"/>
  <c r="BF232" i="5"/>
  <c r="AE232" i="5"/>
  <c r="BF345" i="5"/>
  <c r="AE345" i="5"/>
  <c r="AD345" i="5"/>
  <c r="AD541" i="5"/>
  <c r="BF541" i="5"/>
  <c r="AE541" i="5"/>
  <c r="AE21" i="5"/>
  <c r="AD21" i="5"/>
  <c r="BF21" i="5"/>
  <c r="AE210" i="5"/>
  <c r="BF210" i="5"/>
  <c r="AD210" i="5"/>
  <c r="AD437" i="5"/>
  <c r="BF437" i="5"/>
  <c r="AE437" i="5"/>
  <c r="BF372" i="5"/>
  <c r="AD372" i="5"/>
  <c r="AE372" i="5"/>
  <c r="AE549" i="5"/>
  <c r="BF549" i="5"/>
  <c r="AD549" i="5"/>
  <c r="AE150" i="5"/>
  <c r="AD150" i="5"/>
  <c r="BF150" i="5"/>
  <c r="AD279" i="5"/>
  <c r="BF279" i="5"/>
  <c r="AE279" i="5"/>
  <c r="AE207" i="5"/>
  <c r="AD207" i="5"/>
  <c r="BF207" i="5"/>
  <c r="BF128" i="5"/>
  <c r="AE128" i="5"/>
  <c r="AD128" i="5"/>
  <c r="AE544" i="5"/>
  <c r="AD544" i="5"/>
  <c r="BF544" i="5"/>
  <c r="AD287" i="5"/>
  <c r="BF287" i="5"/>
  <c r="AE287" i="5"/>
  <c r="AD432" i="5"/>
  <c r="AE432" i="5"/>
  <c r="BF432" i="5"/>
  <c r="AD253" i="5"/>
  <c r="BF253" i="5"/>
  <c r="AE253" i="5"/>
  <c r="AE295" i="5"/>
  <c r="AD295" i="5"/>
  <c r="BF295" i="5"/>
  <c r="AD452" i="5"/>
  <c r="BF452" i="5"/>
  <c r="AE452" i="5"/>
  <c r="AE512" i="5"/>
  <c r="BF512" i="5"/>
  <c r="AD512" i="5"/>
  <c r="AD53" i="5"/>
  <c r="AE53" i="5"/>
  <c r="BF53" i="5"/>
  <c r="AE388" i="5"/>
  <c r="AD388" i="5"/>
  <c r="BF388" i="5"/>
  <c r="AE288" i="5"/>
  <c r="AD288" i="5"/>
  <c r="BF288" i="5"/>
  <c r="AE351" i="5"/>
  <c r="AD351" i="5"/>
  <c r="BF351" i="5"/>
  <c r="AE547" i="5"/>
  <c r="AD547" i="5"/>
  <c r="BF547" i="5"/>
  <c r="AE493" i="5"/>
  <c r="AD493" i="5"/>
  <c r="BF493" i="5"/>
  <c r="BF428" i="5"/>
  <c r="AD428" i="5"/>
  <c r="AE428" i="5"/>
  <c r="BF48" i="5"/>
  <c r="AD48" i="5"/>
  <c r="AE48" i="5"/>
  <c r="AE117" i="5"/>
  <c r="AD117" i="5"/>
  <c r="BF117" i="5"/>
  <c r="AE173" i="5"/>
  <c r="BF173" i="5"/>
  <c r="AD173" i="5"/>
  <c r="AD228" i="5"/>
  <c r="AE228" i="5"/>
  <c r="BF228" i="5"/>
  <c r="AE94" i="5"/>
  <c r="AD94" i="5"/>
  <c r="BF94" i="5"/>
  <c r="AD456" i="5"/>
  <c r="BF456" i="5"/>
  <c r="AE456" i="5"/>
  <c r="AD413" i="5"/>
  <c r="AE413" i="5"/>
  <c r="BF413" i="5"/>
  <c r="AD92" i="5"/>
  <c r="AE92" i="5"/>
  <c r="BF92" i="5"/>
  <c r="BK411" i="5"/>
  <c r="BJ411" i="5"/>
  <c r="AD44" i="5"/>
  <c r="BF44" i="5"/>
  <c r="AE44" i="5"/>
  <c r="AD431" i="5"/>
  <c r="AE431" i="5"/>
  <c r="BF431" i="5"/>
  <c r="AE144" i="5"/>
  <c r="AD144" i="5"/>
  <c r="BF144" i="5"/>
  <c r="BF88" i="5"/>
  <c r="AE88" i="5"/>
  <c r="AD88" i="5"/>
  <c r="AD8" i="5"/>
  <c r="AE8" i="5"/>
  <c r="BF8" i="5"/>
  <c r="BF254" i="5"/>
  <c r="AE254" i="5"/>
  <c r="AD254" i="5"/>
  <c r="AD370" i="5"/>
  <c r="AE370" i="5"/>
  <c r="BF370" i="5"/>
  <c r="AD245" i="5"/>
  <c r="BF245" i="5"/>
  <c r="AE245" i="5"/>
  <c r="AE243" i="5"/>
  <c r="BF243" i="5"/>
  <c r="AD243" i="5"/>
  <c r="BF429" i="5"/>
  <c r="AD429" i="5"/>
  <c r="AE429" i="5"/>
  <c r="AE482" i="5"/>
  <c r="BF482" i="5"/>
  <c r="AD482" i="5"/>
  <c r="AE185" i="5"/>
  <c r="BF185" i="5"/>
  <c r="AD185" i="5"/>
  <c r="AD112" i="5"/>
  <c r="AE112" i="5"/>
  <c r="BF112" i="5"/>
  <c r="AE538" i="5"/>
  <c r="BF538" i="5"/>
  <c r="AD538" i="5"/>
  <c r="AD231" i="5"/>
  <c r="BF231" i="5"/>
  <c r="AE231" i="5"/>
  <c r="AE477" i="5"/>
  <c r="AD477" i="5"/>
  <c r="BF477" i="5"/>
  <c r="AE526" i="5"/>
  <c r="AD526" i="5"/>
  <c r="BF526" i="5"/>
  <c r="AE290" i="5"/>
  <c r="AD290" i="5"/>
  <c r="BF290" i="5"/>
  <c r="AD168" i="5"/>
  <c r="BF168" i="5"/>
  <c r="AE168" i="5"/>
  <c r="AE252" i="5"/>
  <c r="BF252" i="5"/>
  <c r="AD252" i="5"/>
  <c r="AD426" i="5"/>
  <c r="BF426" i="5"/>
  <c r="AE426" i="5"/>
  <c r="AE491" i="5"/>
  <c r="AD491" i="5"/>
  <c r="BF491" i="5"/>
  <c r="BF342" i="5"/>
  <c r="AE342" i="5"/>
  <c r="AD342" i="5"/>
  <c r="AE321" i="5"/>
  <c r="AD321" i="5"/>
  <c r="BF321" i="5"/>
  <c r="BF481" i="5"/>
  <c r="AE481" i="5"/>
  <c r="AD481" i="5"/>
  <c r="AD54" i="5"/>
  <c r="BF54" i="5"/>
  <c r="AE54" i="5"/>
  <c r="AE219" i="5"/>
  <c r="AD219" i="5"/>
  <c r="BF219" i="5"/>
  <c r="AE317" i="5"/>
  <c r="BF317" i="5"/>
  <c r="AD317" i="5"/>
  <c r="AE163" i="5"/>
  <c r="BF163" i="5"/>
  <c r="AD163" i="5"/>
  <c r="AE200" i="5"/>
  <c r="AD200" i="5"/>
  <c r="BF200" i="5"/>
  <c r="AD250" i="5"/>
  <c r="BF250" i="5"/>
  <c r="AE250" i="5"/>
  <c r="AE392" i="5"/>
  <c r="AD392" i="5"/>
  <c r="BF392" i="5"/>
  <c r="BF188" i="5"/>
  <c r="AD188" i="5"/>
  <c r="AE188" i="5"/>
  <c r="AE60" i="5"/>
  <c r="AD60" i="5"/>
  <c r="BF60" i="5"/>
  <c r="AE35" i="5"/>
  <c r="AD35" i="5"/>
  <c r="BF35" i="5"/>
  <c r="BK485" i="5"/>
  <c r="BJ485" i="5"/>
  <c r="AO71" i="4"/>
  <c r="AU71" i="4" s="1"/>
  <c r="AW71" i="4" s="1"/>
  <c r="AE218" i="5"/>
  <c r="BF218" i="5"/>
  <c r="AD218" i="5"/>
  <c r="AD235" i="5"/>
  <c r="BF235" i="5"/>
  <c r="AE235" i="5"/>
  <c r="BK209" i="5"/>
  <c r="BJ209" i="5"/>
  <c r="AO23" i="4"/>
  <c r="BK497" i="5"/>
  <c r="BJ497" i="5"/>
  <c r="AE167" i="5"/>
  <c r="AD167" i="5"/>
  <c r="BF167" i="5"/>
  <c r="AO99" i="4"/>
  <c r="AU99" i="4" s="1"/>
  <c r="AW99" i="4" s="1"/>
  <c r="BJ84" i="5"/>
  <c r="BK84" i="5"/>
  <c r="AO146" i="4"/>
  <c r="AU146" i="4" s="1"/>
  <c r="AW146" i="4" s="1"/>
  <c r="BJ127" i="5"/>
  <c r="BK127" i="5"/>
  <c r="AO30" i="4"/>
  <c r="AB11" i="5"/>
  <c r="AA11" i="5"/>
  <c r="U11" i="5"/>
  <c r="V11" i="5"/>
  <c r="AH11" i="5"/>
  <c r="AI11" i="5"/>
  <c r="AO148" i="4"/>
  <c r="BK284" i="5"/>
  <c r="BJ284" i="5"/>
  <c r="BK419" i="5"/>
  <c r="BJ419" i="5"/>
  <c r="BJ148" i="5"/>
  <c r="BK148" i="5"/>
  <c r="AO17" i="4"/>
  <c r="AU17" i="4" s="1"/>
  <c r="AW17" i="4" s="1"/>
  <c r="AD348" i="5"/>
  <c r="BF348" i="5"/>
  <c r="AE348" i="5"/>
  <c r="AE299" i="5"/>
  <c r="BF299" i="5"/>
  <c r="AD299" i="5"/>
  <c r="BF447" i="5"/>
  <c r="AE447" i="5"/>
  <c r="AD447" i="5"/>
  <c r="AE364" i="5"/>
  <c r="AD364" i="5"/>
  <c r="BF364" i="5"/>
  <c r="AE172" i="5"/>
  <c r="BF172" i="5"/>
  <c r="AD172" i="5"/>
  <c r="AO35" i="4"/>
  <c r="AO47" i="4"/>
  <c r="AU47" i="4" s="1"/>
  <c r="AW47" i="4" s="1"/>
  <c r="AE256" i="5"/>
  <c r="BF256" i="5"/>
  <c r="AD256" i="5"/>
  <c r="BF77" i="5"/>
  <c r="AE77" i="5"/>
  <c r="AD77" i="5"/>
  <c r="AD514" i="5"/>
  <c r="AE514" i="5"/>
  <c r="BF514" i="5"/>
  <c r="AE242" i="5"/>
  <c r="BF242" i="5"/>
  <c r="AD242" i="5"/>
  <c r="AD504" i="5"/>
  <c r="BF504" i="5"/>
  <c r="AE504" i="5"/>
  <c r="BF115" i="5"/>
  <c r="AE115" i="5"/>
  <c r="AD115" i="5"/>
  <c r="AD521" i="5"/>
  <c r="BF521" i="5"/>
  <c r="AE521" i="5"/>
  <c r="AD42" i="5"/>
  <c r="BF42" i="5"/>
  <c r="AE42" i="5"/>
  <c r="AD300" i="5"/>
  <c r="AE300" i="5"/>
  <c r="BF300" i="5"/>
  <c r="AE109" i="5"/>
  <c r="AD109" i="5"/>
  <c r="BF109" i="5"/>
  <c r="AD56" i="5"/>
  <c r="AE56" i="5"/>
  <c r="BF56" i="5"/>
  <c r="AE528" i="5"/>
  <c r="BF528" i="5"/>
  <c r="AD528" i="5"/>
  <c r="AD116" i="5"/>
  <c r="AE116" i="5"/>
  <c r="BF116" i="5"/>
  <c r="AE40" i="5"/>
  <c r="AD40" i="5"/>
  <c r="BF40" i="5"/>
  <c r="AE360" i="5"/>
  <c r="BF360" i="5"/>
  <c r="AD360" i="5"/>
  <c r="AD107" i="5"/>
  <c r="AE107" i="5"/>
  <c r="BF107" i="5"/>
  <c r="BF298" i="5"/>
  <c r="AD298" i="5"/>
  <c r="AE298" i="5"/>
  <c r="AD498" i="5"/>
  <c r="AE498" i="5"/>
  <c r="BF498" i="5"/>
  <c r="AE184" i="5"/>
  <c r="AD184" i="5"/>
  <c r="BF184" i="5"/>
  <c r="AE387" i="5"/>
  <c r="BF387" i="5"/>
  <c r="AD387" i="5"/>
  <c r="AD464" i="5"/>
  <c r="AE464" i="5"/>
  <c r="BF464" i="5"/>
  <c r="AE202" i="5"/>
  <c r="AD202" i="5"/>
  <c r="BF202" i="5"/>
  <c r="AE158" i="5"/>
  <c r="AD158" i="5"/>
  <c r="BF158" i="5"/>
  <c r="AE467" i="5"/>
  <c r="BF467" i="5"/>
  <c r="AD467" i="5"/>
  <c r="AE102" i="5"/>
  <c r="AD102" i="5"/>
  <c r="BF102" i="5"/>
  <c r="BF502" i="5"/>
  <c r="AD502" i="5"/>
  <c r="AE502" i="5"/>
  <c r="AD400" i="5"/>
  <c r="BF400" i="5"/>
  <c r="AE400" i="5"/>
  <c r="AE147" i="5"/>
  <c r="AD147" i="5"/>
  <c r="BF147" i="5"/>
  <c r="AE312" i="5"/>
  <c r="AD312" i="5"/>
  <c r="BF312" i="5"/>
  <c r="AD439" i="5"/>
  <c r="BF439" i="5"/>
  <c r="AE439" i="5"/>
  <c r="BF135" i="5"/>
  <c r="AE135" i="5"/>
  <c r="AD135" i="5"/>
  <c r="AE330" i="5"/>
  <c r="AD330" i="5"/>
  <c r="BF330" i="5"/>
  <c r="AE534" i="5"/>
  <c r="BF534" i="5"/>
  <c r="AD534" i="5"/>
  <c r="AE344" i="5"/>
  <c r="BF344" i="5"/>
  <c r="AD344" i="5"/>
  <c r="AD524" i="5"/>
  <c r="AE524" i="5"/>
  <c r="BF524" i="5"/>
  <c r="AD410" i="5"/>
  <c r="AE410" i="5"/>
  <c r="BF410" i="5"/>
  <c r="AD81" i="5"/>
  <c r="BF81" i="5"/>
  <c r="AE81" i="5"/>
  <c r="BF430" i="5"/>
  <c r="AD430" i="5"/>
  <c r="AE430" i="5"/>
  <c r="BF448" i="5"/>
  <c r="AE448" i="5"/>
  <c r="AD448" i="5"/>
  <c r="AD286" i="5"/>
  <c r="BF286" i="5"/>
  <c r="AE286" i="5"/>
  <c r="AD485" i="5"/>
  <c r="BF485" i="5"/>
  <c r="AE485" i="5"/>
  <c r="AD160" i="5"/>
  <c r="BF160" i="5"/>
  <c r="AE160" i="5"/>
  <c r="BF406" i="5"/>
  <c r="AD406" i="5"/>
  <c r="AE406" i="5"/>
  <c r="AE332" i="5"/>
  <c r="BF332" i="5"/>
  <c r="AD332" i="5"/>
  <c r="AD515" i="5"/>
  <c r="BF515" i="5"/>
  <c r="AE515" i="5"/>
  <c r="BF217" i="5"/>
  <c r="AD217" i="5"/>
  <c r="AE217" i="5"/>
  <c r="AD72" i="5"/>
  <c r="AE72" i="5"/>
  <c r="BF72" i="5"/>
  <c r="AE543" i="5"/>
  <c r="BF543" i="5"/>
  <c r="AD543" i="5"/>
  <c r="AE194" i="5"/>
  <c r="AD194" i="5"/>
  <c r="BF194" i="5"/>
  <c r="BF268" i="5"/>
  <c r="AE268" i="5"/>
  <c r="AD268" i="5"/>
  <c r="BF55" i="5"/>
  <c r="AD55" i="5"/>
  <c r="AE55" i="5"/>
  <c r="AE325" i="5"/>
  <c r="AD325" i="5"/>
  <c r="BF325" i="5"/>
  <c r="BF327" i="5"/>
  <c r="AD327" i="5"/>
  <c r="AE327" i="5"/>
  <c r="AE73" i="5"/>
  <c r="AD73" i="5"/>
  <c r="BF73" i="5"/>
  <c r="BF296" i="5"/>
  <c r="AE296" i="5"/>
  <c r="AD296" i="5"/>
  <c r="AE66" i="5"/>
  <c r="AD66" i="5"/>
  <c r="BF66" i="5"/>
  <c r="BF366" i="5"/>
  <c r="AD366" i="5"/>
  <c r="AE366" i="5"/>
  <c r="BF186" i="5"/>
  <c r="AE186" i="5"/>
  <c r="AD186" i="5"/>
  <c r="AD63" i="5"/>
  <c r="AE63" i="5"/>
  <c r="BF63" i="5"/>
  <c r="AD396" i="5"/>
  <c r="BF396" i="5"/>
  <c r="AE396" i="5"/>
  <c r="BF284" i="5"/>
  <c r="AD284" i="5"/>
  <c r="AE284" i="5"/>
  <c r="AE293" i="5"/>
  <c r="AD293" i="5"/>
  <c r="BF293" i="5"/>
  <c r="AD12" i="5"/>
  <c r="BF12" i="5"/>
  <c r="AE12" i="5"/>
  <c r="AE259" i="5"/>
  <c r="BF259" i="5"/>
  <c r="AD259" i="5"/>
  <c r="AD10" i="5"/>
  <c r="AE10" i="5"/>
  <c r="BF10" i="5"/>
  <c r="AD32" i="5"/>
  <c r="AE32" i="5"/>
  <c r="BF32" i="5"/>
  <c r="AE556" i="5"/>
  <c r="AD556" i="5"/>
  <c r="BF556" i="5"/>
  <c r="AO120" i="4"/>
  <c r="AU120" i="4" s="1"/>
  <c r="AW120" i="4" s="1"/>
  <c r="AE29" i="5"/>
  <c r="AD29" i="5"/>
  <c r="BF29" i="5"/>
  <c r="AE70" i="5"/>
  <c r="BF70" i="5"/>
  <c r="AD70" i="5"/>
  <c r="AD522" i="5"/>
  <c r="AE522" i="5"/>
  <c r="BF522" i="5"/>
  <c r="AE309" i="5"/>
  <c r="AD309" i="5"/>
  <c r="BF309" i="5"/>
  <c r="BF316" i="5"/>
  <c r="AE316" i="5"/>
  <c r="AD316" i="5"/>
  <c r="BF551" i="5"/>
  <c r="AD551" i="5"/>
  <c r="AE551" i="5"/>
  <c r="AE331" i="5"/>
  <c r="AD331" i="5"/>
  <c r="BF331" i="5"/>
  <c r="BF41" i="5"/>
  <c r="AE41" i="5"/>
  <c r="AD41" i="5"/>
  <c r="AD381" i="5"/>
  <c r="AE381" i="5"/>
  <c r="BF381" i="5"/>
  <c r="AE220" i="5"/>
  <c r="AD220" i="5"/>
  <c r="BF220" i="5"/>
  <c r="BF487" i="5"/>
  <c r="AE487" i="5"/>
  <c r="AD487" i="5"/>
  <c r="AD289" i="5"/>
  <c r="AE289" i="5"/>
  <c r="BF289" i="5"/>
  <c r="AE271" i="5"/>
  <c r="AD271" i="5"/>
  <c r="BF271" i="5"/>
  <c r="AE425" i="5"/>
  <c r="AD425" i="5"/>
  <c r="BF425" i="5"/>
  <c r="AE65" i="5"/>
  <c r="AD65" i="5"/>
  <c r="BF65" i="5"/>
  <c r="AD68" i="5"/>
  <c r="BF68" i="5"/>
  <c r="AE68" i="5"/>
  <c r="BF343" i="5"/>
  <c r="AE343" i="5"/>
  <c r="AD343" i="5"/>
  <c r="BF156" i="5"/>
  <c r="AD156" i="5"/>
  <c r="AE156" i="5"/>
  <c r="BF100" i="5"/>
  <c r="AE100" i="5"/>
  <c r="AD100" i="5"/>
  <c r="AE130" i="5"/>
  <c r="BF130" i="5"/>
  <c r="AD130" i="5"/>
  <c r="AD497" i="5"/>
  <c r="AE497" i="5"/>
  <c r="BF497" i="5"/>
  <c r="BF480" i="5"/>
  <c r="AD480" i="5"/>
  <c r="AE480" i="5"/>
  <c r="AD291" i="5"/>
  <c r="AE291" i="5"/>
  <c r="BF291" i="5"/>
  <c r="AD490" i="5"/>
  <c r="AE490" i="5"/>
  <c r="BF490" i="5"/>
  <c r="AD143" i="5"/>
  <c r="AE143" i="5"/>
  <c r="BF143" i="5"/>
  <c r="AD420" i="5"/>
  <c r="AE420" i="5"/>
  <c r="BF420" i="5"/>
  <c r="AE251" i="5"/>
  <c r="AD251" i="5"/>
  <c r="BF251" i="5"/>
  <c r="AE152" i="5"/>
  <c r="BF152" i="5"/>
  <c r="AD152" i="5"/>
  <c r="AD336" i="5"/>
  <c r="AE336" i="5"/>
  <c r="BF336" i="5"/>
  <c r="AD557" i="5"/>
  <c r="AE557" i="5"/>
  <c r="BF557" i="5"/>
  <c r="AE283" i="5"/>
  <c r="AD283" i="5"/>
  <c r="BF283" i="5"/>
  <c r="AE280" i="5"/>
  <c r="AD280" i="5"/>
  <c r="BF280" i="5"/>
  <c r="AE454" i="5"/>
  <c r="AD454" i="5"/>
  <c r="BF454" i="5"/>
  <c r="BJ446" i="5"/>
  <c r="BK446" i="5"/>
  <c r="AO69" i="4"/>
  <c r="AE28" i="5"/>
  <c r="BF28" i="5"/>
  <c r="AD28" i="5"/>
  <c r="AD542" i="5"/>
  <c r="AE542" i="5"/>
  <c r="BF542" i="5"/>
  <c r="BF415" i="5"/>
  <c r="AE415" i="5"/>
  <c r="AD415" i="5"/>
  <c r="AE421" i="5"/>
  <c r="BF421" i="5"/>
  <c r="AD421" i="5"/>
  <c r="AD473" i="5"/>
  <c r="AE473" i="5"/>
  <c r="BF473" i="5"/>
  <c r="AE277" i="5"/>
  <c r="AD277" i="5"/>
  <c r="BF277" i="5"/>
  <c r="AE324" i="5"/>
  <c r="BF324" i="5"/>
  <c r="AD324" i="5"/>
  <c r="AD402" i="5"/>
  <c r="AE402" i="5"/>
  <c r="BF402" i="5"/>
  <c r="AE162" i="5"/>
  <c r="AD162" i="5"/>
  <c r="BF162" i="5"/>
  <c r="BF124" i="5"/>
  <c r="AD124" i="5"/>
  <c r="AE124" i="5"/>
  <c r="AE171" i="5"/>
  <c r="AD171" i="5"/>
  <c r="BF171" i="5"/>
  <c r="AE457" i="5"/>
  <c r="BF457" i="5"/>
  <c r="AD457" i="5"/>
  <c r="BF435" i="5"/>
  <c r="AD435" i="5"/>
  <c r="AE435" i="5"/>
  <c r="AD535" i="5"/>
  <c r="AE535" i="5"/>
  <c r="BF535" i="5"/>
  <c r="BF449" i="5"/>
  <c r="AD449" i="5"/>
  <c r="AE449" i="5"/>
  <c r="AD121" i="5"/>
  <c r="AE121" i="5"/>
  <c r="BF121" i="5"/>
  <c r="BF307" i="5"/>
  <c r="AD307" i="5"/>
  <c r="AE307" i="5"/>
  <c r="AD266" i="5"/>
  <c r="AE266" i="5"/>
  <c r="BF266" i="5"/>
  <c r="AE476" i="5"/>
  <c r="AD476" i="5"/>
  <c r="BF476" i="5"/>
  <c r="AD267" i="5"/>
  <c r="BF267" i="5"/>
  <c r="AE267" i="5"/>
  <c r="BF285" i="5"/>
  <c r="AE285" i="5"/>
  <c r="AD285" i="5"/>
  <c r="AE263" i="5"/>
  <c r="BF263" i="5"/>
  <c r="AD263" i="5"/>
  <c r="AD255" i="5"/>
  <c r="BF255" i="5"/>
  <c r="AE255" i="5"/>
  <c r="AE23" i="5"/>
  <c r="BF23" i="5"/>
  <c r="AD23" i="5"/>
  <c r="AE138" i="5"/>
  <c r="BF138" i="5"/>
  <c r="AD138" i="5"/>
  <c r="AD365" i="5"/>
  <c r="BF365" i="5"/>
  <c r="AE365" i="5"/>
  <c r="AE340" i="5"/>
  <c r="AD340" i="5"/>
  <c r="BF340" i="5"/>
  <c r="AE216" i="5"/>
  <c r="BF216" i="5"/>
  <c r="AD216" i="5"/>
  <c r="AE179" i="5"/>
  <c r="AD179" i="5"/>
  <c r="BF179" i="5"/>
  <c r="AD398" i="5"/>
  <c r="BF398" i="5"/>
  <c r="AE398" i="5"/>
  <c r="AD354" i="5"/>
  <c r="BF354" i="5"/>
  <c r="AE354" i="5"/>
  <c r="AE529" i="5"/>
  <c r="AD529" i="5"/>
  <c r="BF529" i="5"/>
  <c r="BF239" i="5"/>
  <c r="AE239" i="5"/>
  <c r="AD239" i="5"/>
  <c r="AD367" i="5"/>
  <c r="AE367" i="5"/>
  <c r="BF367" i="5"/>
  <c r="BK524" i="5"/>
  <c r="BJ524" i="5"/>
  <c r="AD494" i="5"/>
  <c r="AE494" i="5"/>
  <c r="BF494" i="5"/>
  <c r="AE248" i="5"/>
  <c r="AD248" i="5"/>
  <c r="BF248" i="5"/>
  <c r="BJ151" i="5"/>
  <c r="BK151" i="5"/>
  <c r="BK73" i="5"/>
  <c r="BJ73" i="5"/>
  <c r="BJ33" i="5"/>
  <c r="BK33" i="5"/>
  <c r="AE315" i="5"/>
  <c r="BF315" i="5"/>
  <c r="AD315" i="5"/>
  <c r="AE249" i="5"/>
  <c r="BF249" i="5"/>
  <c r="AD249" i="5"/>
  <c r="BK416" i="5"/>
  <c r="BJ416" i="5"/>
  <c r="BJ77" i="5"/>
  <c r="BK77" i="5"/>
  <c r="BJ267" i="5"/>
  <c r="BK267" i="5"/>
  <c r="BK9" i="5"/>
  <c r="BJ9" i="5"/>
  <c r="X11" i="5"/>
  <c r="Y11" i="5"/>
  <c r="BB11" i="5"/>
  <c r="BA11" i="5"/>
  <c r="S11" i="5"/>
  <c r="R11" i="5"/>
  <c r="BJ386" i="5"/>
  <c r="BK386" i="5"/>
  <c r="BK186" i="5"/>
  <c r="BJ186" i="5"/>
  <c r="BJ462" i="5"/>
  <c r="BK462" i="5"/>
  <c r="AE37" i="5"/>
  <c r="BF37" i="5"/>
  <c r="AD37" i="5"/>
  <c r="AD180" i="5"/>
  <c r="BF180" i="5"/>
  <c r="AE180" i="5"/>
  <c r="AD64" i="5"/>
  <c r="AE64" i="5"/>
  <c r="BF64" i="5"/>
  <c r="BF91" i="5"/>
  <c r="AD91" i="5"/>
  <c r="AE91" i="5"/>
  <c r="AD518" i="5"/>
  <c r="AE518" i="5"/>
  <c r="BF518" i="5"/>
  <c r="BK444" i="5"/>
  <c r="BJ444" i="5"/>
  <c r="AO139" i="4"/>
  <c r="AU139" i="4" s="1"/>
  <c r="AW139" i="4" s="1"/>
  <c r="AE468" i="5"/>
  <c r="BF468" i="5"/>
  <c r="AD468" i="5"/>
  <c r="AE560" i="5"/>
  <c r="BF560" i="5"/>
  <c r="AD560" i="5"/>
  <c r="BF272" i="5"/>
  <c r="AD272" i="5"/>
  <c r="AE272" i="5"/>
  <c r="AD119" i="5"/>
  <c r="BF119" i="5"/>
  <c r="AE119" i="5"/>
  <c r="AD373" i="5"/>
  <c r="AE373" i="5"/>
  <c r="BF373" i="5"/>
  <c r="AE369" i="5"/>
  <c r="BF369" i="5"/>
  <c r="AD369" i="5"/>
  <c r="AD537" i="5"/>
  <c r="AE537" i="5"/>
  <c r="BF537" i="5"/>
  <c r="BF462" i="5"/>
  <c r="AE462" i="5"/>
  <c r="AD462" i="5"/>
  <c r="AE319" i="5"/>
  <c r="BF319" i="5"/>
  <c r="AD319" i="5"/>
  <c r="AD416" i="5"/>
  <c r="AE416" i="5"/>
  <c r="BF416" i="5"/>
  <c r="AD441" i="5"/>
  <c r="AE441" i="5"/>
  <c r="BF441" i="5"/>
  <c r="BF175" i="5"/>
  <c r="AD175" i="5"/>
  <c r="AE175" i="5"/>
  <c r="AD408" i="5"/>
  <c r="AE408" i="5"/>
  <c r="BF408" i="5"/>
  <c r="AD337" i="5"/>
  <c r="BF337" i="5"/>
  <c r="AE337" i="5"/>
  <c r="AD43" i="5"/>
  <c r="BF43" i="5"/>
  <c r="AE43" i="5"/>
  <c r="BF148" i="5"/>
  <c r="AE148" i="5"/>
  <c r="AD148" i="5"/>
  <c r="AD499" i="5"/>
  <c r="AE499" i="5"/>
  <c r="BF499" i="5"/>
  <c r="AE294" i="5"/>
  <c r="BF294" i="5"/>
  <c r="AD294" i="5"/>
  <c r="AE422" i="5"/>
  <c r="BF422" i="5"/>
  <c r="AD422" i="5"/>
  <c r="AD376" i="5"/>
  <c r="BF376" i="5"/>
  <c r="AE376" i="5"/>
  <c r="AE278" i="5"/>
  <c r="AD278" i="5"/>
  <c r="BF278" i="5"/>
  <c r="AD165" i="5"/>
  <c r="AE165" i="5"/>
  <c r="BF165" i="5"/>
  <c r="AE446" i="5"/>
  <c r="BF446" i="5"/>
  <c r="AD446" i="5"/>
  <c r="AE221" i="5"/>
  <c r="BF221" i="5"/>
  <c r="AD221" i="5"/>
  <c r="AD553" i="5"/>
  <c r="AE553" i="5"/>
  <c r="BF553" i="5"/>
  <c r="AD357" i="5"/>
  <c r="BF357" i="5"/>
  <c r="AE357" i="5"/>
  <c r="AE540" i="5"/>
  <c r="AD540" i="5"/>
  <c r="BF540" i="5"/>
  <c r="BF273" i="5"/>
  <c r="AD273" i="5"/>
  <c r="AE273" i="5"/>
  <c r="AE71" i="5"/>
  <c r="AD71" i="5"/>
  <c r="BF71" i="5"/>
  <c r="AE111" i="5"/>
  <c r="AD111" i="5"/>
  <c r="BF111" i="5"/>
  <c r="BF423" i="5"/>
  <c r="AE423" i="5"/>
  <c r="AD423" i="5"/>
  <c r="AE58" i="5"/>
  <c r="BF58" i="5"/>
  <c r="AD58" i="5"/>
  <c r="AE311" i="5"/>
  <c r="AD311" i="5"/>
  <c r="BF311" i="5"/>
  <c r="AE455" i="5"/>
  <c r="AD455" i="5"/>
  <c r="BF455" i="5"/>
  <c r="AO46" i="4"/>
  <c r="AU46" i="4" s="1"/>
  <c r="AW46" i="4" s="1"/>
  <c r="BK529" i="5"/>
  <c r="BJ529" i="5"/>
  <c r="BK154" i="5"/>
  <c r="BJ154" i="5"/>
  <c r="AO100" i="4"/>
  <c r="AU100" i="4" s="1"/>
  <c r="AW100" i="4" s="1"/>
  <c r="AD85" i="5"/>
  <c r="BF85" i="5"/>
  <c r="AE85" i="5"/>
  <c r="AD326" i="5"/>
  <c r="BF326" i="5"/>
  <c r="AE326" i="5"/>
  <c r="AD419" i="5"/>
  <c r="BF419" i="5"/>
  <c r="AE419" i="5"/>
  <c r="AD377" i="5"/>
  <c r="AE377" i="5"/>
  <c r="BF377" i="5"/>
  <c r="BF445" i="5"/>
  <c r="AD445" i="5"/>
  <c r="AE445" i="5"/>
  <c r="AE362" i="5"/>
  <c r="BF362" i="5"/>
  <c r="AD362" i="5"/>
  <c r="AE125" i="5"/>
  <c r="BF125" i="5"/>
  <c r="AD125" i="5"/>
  <c r="AE292" i="5"/>
  <c r="BF292" i="5"/>
  <c r="AD292" i="5"/>
  <c r="BF36" i="5"/>
  <c r="AD36" i="5"/>
  <c r="AE36" i="5"/>
  <c r="BF214" i="5"/>
  <c r="AD214" i="5"/>
  <c r="AE214" i="5"/>
  <c r="AE132" i="5"/>
  <c r="BF132" i="5"/>
  <c r="AD132" i="5"/>
  <c r="AD320" i="5"/>
  <c r="AE320" i="5"/>
  <c r="BF320" i="5"/>
  <c r="AE509" i="5"/>
  <c r="AD509" i="5"/>
  <c r="BF509" i="5"/>
  <c r="AE79" i="5"/>
  <c r="BF79" i="5"/>
  <c r="AD79" i="5"/>
  <c r="AE269" i="5"/>
  <c r="BF269" i="5"/>
  <c r="AD269" i="5"/>
  <c r="AD22" i="5"/>
  <c r="AE22" i="5"/>
  <c r="BF22" i="5"/>
  <c r="AD230" i="5"/>
  <c r="AE230" i="5"/>
  <c r="BF230" i="5"/>
  <c r="AD178" i="5"/>
  <c r="BF178" i="5"/>
  <c r="AE178" i="5"/>
  <c r="BF414" i="5"/>
  <c r="AE414" i="5"/>
  <c r="AD414" i="5"/>
  <c r="AE397" i="5"/>
  <c r="AD397" i="5"/>
  <c r="BF397" i="5"/>
  <c r="BF201" i="5"/>
  <c r="AD201" i="5"/>
  <c r="AE201" i="5"/>
  <c r="BF118" i="5"/>
  <c r="AD118" i="5"/>
  <c r="AE118" i="5"/>
  <c r="AD190" i="5"/>
  <c r="BF190" i="5"/>
  <c r="AE190" i="5"/>
  <c r="AD508" i="5"/>
  <c r="BF508" i="5"/>
  <c r="AE508" i="5"/>
  <c r="BF247" i="5"/>
  <c r="AD247" i="5"/>
  <c r="AE247" i="5"/>
  <c r="AD501" i="5"/>
  <c r="BF501" i="5"/>
  <c r="AE501" i="5"/>
  <c r="BF176" i="5"/>
  <c r="AD176" i="5"/>
  <c r="AE176" i="5"/>
  <c r="AD461" i="5"/>
  <c r="AE461" i="5"/>
  <c r="BF461" i="5"/>
  <c r="AE126" i="5"/>
  <c r="BF126" i="5"/>
  <c r="AD126" i="5"/>
  <c r="AD145" i="5"/>
  <c r="AE145" i="5"/>
  <c r="BF145" i="5"/>
  <c r="BF270" i="5"/>
  <c r="AD270" i="5"/>
  <c r="AE270" i="5"/>
  <c r="AE238" i="5"/>
  <c r="AD238" i="5"/>
  <c r="BF238" i="5"/>
  <c r="BK176" i="5"/>
  <c r="BJ176" i="5"/>
  <c r="AO114" i="4"/>
  <c r="BF282" i="5"/>
  <c r="AE282" i="5"/>
  <c r="AD282" i="5"/>
  <c r="AE258" i="5"/>
  <c r="AD258" i="5"/>
  <c r="BF258" i="5"/>
  <c r="BF558" i="5"/>
  <c r="AE558" i="5"/>
  <c r="AD558" i="5"/>
  <c r="AD187" i="5"/>
  <c r="AE187" i="5"/>
  <c r="BF187" i="5"/>
  <c r="AD234" i="5"/>
  <c r="AE234" i="5"/>
  <c r="BF234" i="5"/>
  <c r="AD352" i="5"/>
  <c r="BF352" i="5"/>
  <c r="AE352" i="5"/>
  <c r="AD393" i="5"/>
  <c r="AE393" i="5"/>
  <c r="BF393" i="5"/>
  <c r="AE424" i="5"/>
  <c r="AD424" i="5"/>
  <c r="BF424" i="5"/>
  <c r="AD322" i="5"/>
  <c r="BF322" i="5"/>
  <c r="AE322" i="5"/>
  <c r="BF453" i="5"/>
  <c r="AE453" i="5"/>
  <c r="AD453" i="5"/>
  <c r="BF488" i="5"/>
  <c r="AE488" i="5"/>
  <c r="AD488" i="5"/>
  <c r="AE120" i="5"/>
  <c r="BF120" i="5"/>
  <c r="AD120" i="5"/>
  <c r="AE450" i="5"/>
  <c r="AD450" i="5"/>
  <c r="BF450" i="5"/>
  <c r="AD47" i="5"/>
  <c r="AE47" i="5"/>
  <c r="BF47" i="5"/>
  <c r="BF539" i="5"/>
  <c r="AD539" i="5"/>
  <c r="AE539" i="5"/>
  <c r="AE314" i="5"/>
  <c r="AD314" i="5"/>
  <c r="BF314" i="5"/>
  <c r="AE303" i="5"/>
  <c r="BF303" i="5"/>
  <c r="AD303" i="5"/>
  <c r="BF264" i="5"/>
  <c r="AD264" i="5"/>
  <c r="AE264" i="5"/>
  <c r="AE505" i="5"/>
  <c r="AD505" i="5"/>
  <c r="BF505" i="5"/>
  <c r="AE427" i="5"/>
  <c r="BF427" i="5"/>
  <c r="AD427" i="5"/>
  <c r="AE105" i="5"/>
  <c r="BF105" i="5"/>
  <c r="AD105" i="5"/>
  <c r="AE374" i="5"/>
  <c r="AD374" i="5"/>
  <c r="BF374" i="5"/>
  <c r="BF177" i="5"/>
  <c r="AE177" i="5"/>
  <c r="AD177" i="5"/>
  <c r="AE57" i="5"/>
  <c r="AD57" i="5"/>
  <c r="BF57" i="5"/>
  <c r="AD89" i="5"/>
  <c r="AE89" i="5"/>
  <c r="BF89" i="5"/>
  <c r="AD407" i="5"/>
  <c r="BF407" i="5"/>
  <c r="AE407" i="5"/>
  <c r="AD395" i="5"/>
  <c r="AE395" i="5"/>
  <c r="BF395" i="5"/>
  <c r="AE198" i="5"/>
  <c r="BF198" i="5"/>
  <c r="AD198" i="5"/>
  <c r="BF460" i="5"/>
  <c r="AD460" i="5"/>
  <c r="AE460" i="5"/>
  <c r="AE371" i="5"/>
  <c r="BF371" i="5"/>
  <c r="AD371" i="5"/>
  <c r="AE356" i="5"/>
  <c r="AD356" i="5"/>
  <c r="BF356" i="5"/>
  <c r="AD193" i="5"/>
  <c r="AE193" i="5"/>
  <c r="BF193" i="5"/>
  <c r="BF133" i="5"/>
  <c r="AD133" i="5"/>
  <c r="AE133" i="5"/>
  <c r="AE19" i="5"/>
  <c r="AD19" i="5"/>
  <c r="BF19" i="5"/>
  <c r="AE341" i="5"/>
  <c r="AD341" i="5"/>
  <c r="BF341" i="5"/>
  <c r="AD181" i="5"/>
  <c r="BF181" i="5"/>
  <c r="AE181" i="5"/>
  <c r="AD209" i="5"/>
  <c r="BF209" i="5"/>
  <c r="AE209" i="5"/>
  <c r="AD353" i="5"/>
  <c r="AE353" i="5"/>
  <c r="BF353" i="5"/>
  <c r="AE87" i="5"/>
  <c r="AD87" i="5"/>
  <c r="BF87" i="5"/>
  <c r="AE458" i="5"/>
  <c r="BF458" i="5"/>
  <c r="AD458" i="5"/>
  <c r="AD301" i="5"/>
  <c r="AE301" i="5"/>
  <c r="BF301" i="5"/>
  <c r="BF153" i="5"/>
  <c r="AD153" i="5"/>
  <c r="AE153" i="5"/>
  <c r="AE74" i="5"/>
  <c r="BF74" i="5"/>
  <c r="AD74" i="5"/>
  <c r="AE399" i="5"/>
  <c r="AD399" i="5"/>
  <c r="BF399" i="5"/>
  <c r="AD346" i="5"/>
  <c r="AE346" i="5"/>
  <c r="BF346" i="5"/>
  <c r="AE82" i="5"/>
  <c r="AD82" i="5"/>
  <c r="BF82" i="5"/>
  <c r="AE33" i="5"/>
  <c r="AD33" i="5"/>
  <c r="BF33" i="5"/>
  <c r="AD323" i="5"/>
  <c r="BF323" i="5"/>
  <c r="AE323" i="5"/>
  <c r="AE155" i="5"/>
  <c r="AD155" i="5"/>
  <c r="BF155" i="5"/>
  <c r="AD223" i="5"/>
  <c r="BF223" i="5"/>
  <c r="AE223" i="5"/>
  <c r="AE335" i="5"/>
  <c r="BF335" i="5"/>
  <c r="AD335" i="5"/>
  <c r="AD389" i="5"/>
  <c r="AE389" i="5"/>
  <c r="BF389" i="5"/>
  <c r="AD530" i="5"/>
  <c r="AE530" i="5"/>
  <c r="BF530" i="5"/>
  <c r="BF154" i="5"/>
  <c r="AE154" i="5"/>
  <c r="AD154" i="5"/>
  <c r="AD347" i="5"/>
  <c r="BF347" i="5"/>
  <c r="AE347" i="5"/>
  <c r="AD306" i="5"/>
  <c r="BF306" i="5"/>
  <c r="AE306" i="5"/>
  <c r="BF305" i="5"/>
  <c r="AE305" i="5"/>
  <c r="AD305" i="5"/>
  <c r="AD536" i="5"/>
  <c r="BF536" i="5"/>
  <c r="AE536" i="5"/>
  <c r="AE196" i="5"/>
  <c r="AD196" i="5"/>
  <c r="BF196" i="5"/>
  <c r="AD215" i="5"/>
  <c r="AE215" i="5"/>
  <c r="BF215" i="5"/>
  <c r="AE78" i="5"/>
  <c r="BF78" i="5"/>
  <c r="AD78" i="5"/>
  <c r="AE192" i="5"/>
  <c r="BF192" i="5"/>
  <c r="AD192" i="5"/>
  <c r="AE404" i="5"/>
  <c r="AD404" i="5"/>
  <c r="BF404" i="5"/>
  <c r="AD355" i="5"/>
  <c r="AE355" i="5"/>
  <c r="BF355" i="5"/>
  <c r="BF386" i="5"/>
  <c r="AD386" i="5"/>
  <c r="AE386" i="5"/>
  <c r="AD302" i="5"/>
  <c r="AE302" i="5"/>
  <c r="BF302" i="5"/>
  <c r="BF444" i="5"/>
  <c r="AD444" i="5"/>
  <c r="AE444" i="5"/>
  <c r="AO41" i="4"/>
  <c r="AU41" i="4" s="1"/>
  <c r="AW41" i="4" s="1"/>
  <c r="BK54" i="5"/>
  <c r="BJ54" i="5"/>
  <c r="AO145" i="4"/>
  <c r="AU145" i="4" s="1"/>
  <c r="AW145" i="4" s="1"/>
  <c r="AO115" i="4"/>
  <c r="AU115" i="4" s="1"/>
  <c r="AW115" i="4" s="1"/>
  <c r="AE304" i="5"/>
  <c r="AD304" i="5"/>
  <c r="BF304" i="5"/>
  <c r="BJ219" i="5"/>
  <c r="BK219" i="5"/>
  <c r="BK13" i="5"/>
  <c r="BJ13" i="5"/>
  <c r="AO14" i="4"/>
  <c r="AE527" i="5"/>
  <c r="BF527" i="5"/>
  <c r="AD527" i="5"/>
  <c r="AD129" i="5"/>
  <c r="BF129" i="5"/>
  <c r="AE129" i="5"/>
  <c r="AO44" i="4"/>
  <c r="AU44" i="4" s="1"/>
  <c r="AW44" i="4" s="1"/>
  <c r="AK11" i="5"/>
  <c r="AL11" i="5"/>
  <c r="AP11" i="5"/>
  <c r="AO11" i="5"/>
  <c r="AN11" i="5"/>
  <c r="AO70" i="4"/>
  <c r="AU70" i="4" s="1"/>
  <c r="AW70" i="4" s="1"/>
  <c r="AO56" i="4"/>
  <c r="AU56" i="4" s="1"/>
  <c r="AW56" i="4" s="1"/>
  <c r="AO64" i="4"/>
  <c r="AU64" i="4" s="1"/>
  <c r="AW64" i="4" s="1"/>
  <c r="BK159" i="5"/>
  <c r="BJ159" i="5"/>
  <c r="BJ394" i="5"/>
  <c r="BK394" i="5"/>
  <c r="AO118" i="4"/>
  <c r="BF46" i="5"/>
  <c r="AD46" i="5"/>
  <c r="AE46" i="5"/>
  <c r="AD405" i="5"/>
  <c r="BF405" i="5"/>
  <c r="AE405" i="5"/>
  <c r="AE62" i="5"/>
  <c r="AD62" i="5"/>
  <c r="BF62" i="5"/>
  <c r="AD466" i="5"/>
  <c r="BF466" i="5"/>
  <c r="AE466" i="5"/>
  <c r="AD34" i="5"/>
  <c r="BF34" i="5"/>
  <c r="AE34" i="5"/>
  <c r="AE149" i="5"/>
  <c r="AD149" i="5"/>
  <c r="BF149" i="5"/>
  <c r="AE350" i="5"/>
  <c r="BF350" i="5"/>
  <c r="AD350" i="5"/>
  <c r="AE123" i="5"/>
  <c r="AD123" i="5"/>
  <c r="BF123" i="5"/>
  <c r="AE442" i="5"/>
  <c r="BF442" i="5"/>
  <c r="AD442" i="5"/>
  <c r="AE13" i="5"/>
  <c r="AD13" i="5"/>
  <c r="BF13" i="5"/>
  <c r="BF438" i="5"/>
  <c r="AE438" i="5"/>
  <c r="AD438" i="5"/>
  <c r="AD451" i="5"/>
  <c r="AE451" i="5"/>
  <c r="BF451" i="5"/>
  <c r="AD276" i="5"/>
  <c r="BF276" i="5"/>
  <c r="AE276" i="5"/>
  <c r="AE379" i="5"/>
  <c r="AD379" i="5"/>
  <c r="BF379" i="5"/>
  <c r="AE30" i="5"/>
  <c r="BF30" i="5"/>
  <c r="AD30" i="5"/>
  <c r="AD489" i="5"/>
  <c r="BF489" i="5"/>
  <c r="AE489" i="5"/>
  <c r="BF113" i="5"/>
  <c r="AE113" i="5"/>
  <c r="AD113" i="5"/>
  <c r="AE380" i="5"/>
  <c r="BF380" i="5"/>
  <c r="AD380" i="5"/>
  <c r="AE84" i="5"/>
  <c r="BF84" i="5"/>
  <c r="AD84" i="5"/>
  <c r="AD108" i="5"/>
  <c r="AE108" i="5"/>
  <c r="BF108" i="5"/>
  <c r="AE463" i="5"/>
  <c r="BF463" i="5"/>
  <c r="AD463" i="5"/>
  <c r="AE80" i="5"/>
  <c r="BF80" i="5"/>
  <c r="AD80" i="5"/>
  <c r="BF550" i="5"/>
  <c r="AD550" i="5"/>
  <c r="AE550" i="5"/>
  <c r="AE226" i="5"/>
  <c r="BF226" i="5"/>
  <c r="AD226" i="5"/>
  <c r="BF338" i="5"/>
  <c r="AE338" i="5"/>
  <c r="AD338" i="5"/>
  <c r="AD390" i="5"/>
  <c r="AE390" i="5"/>
  <c r="BF390" i="5"/>
  <c r="AD375" i="5"/>
  <c r="AE375" i="5"/>
  <c r="BF375" i="5"/>
  <c r="AE131" i="5"/>
  <c r="AD131" i="5"/>
  <c r="BF131" i="5"/>
  <c r="AE257" i="5"/>
  <c r="BF257" i="5"/>
  <c r="AD257" i="5"/>
  <c r="BF24" i="5"/>
  <c r="AE24" i="5"/>
  <c r="AD24" i="5"/>
  <c r="AE224" i="5"/>
  <c r="BF224" i="5"/>
  <c r="AD224" i="5"/>
  <c r="AE313" i="5"/>
  <c r="AD313" i="5"/>
  <c r="BF313" i="5"/>
  <c r="AD363" i="5"/>
  <c r="AE363" i="5"/>
  <c r="BF363" i="5"/>
  <c r="AD382" i="5"/>
  <c r="AE382" i="5"/>
  <c r="BF382" i="5"/>
  <c r="AE9" i="5"/>
  <c r="AD9" i="5"/>
  <c r="BF9" i="5"/>
  <c r="BJ68" i="5"/>
  <c r="BK68" i="5"/>
  <c r="AO104" i="4"/>
  <c r="AU104" i="4" s="1"/>
  <c r="AW104" i="4" s="1"/>
  <c r="AE281" i="5"/>
  <c r="BF281" i="5"/>
  <c r="AD281" i="5"/>
  <c r="AD49" i="5"/>
  <c r="AE49" i="5"/>
  <c r="BF49" i="5"/>
  <c r="BF225" i="5"/>
  <c r="AD225" i="5"/>
  <c r="AE225" i="5"/>
  <c r="BF213" i="5"/>
  <c r="AE213" i="5"/>
  <c r="AD213" i="5"/>
  <c r="BF90" i="5"/>
  <c r="AD90" i="5"/>
  <c r="AE90" i="5"/>
  <c r="AE475" i="5"/>
  <c r="AD475" i="5"/>
  <c r="BF475" i="5"/>
  <c r="AD443" i="5"/>
  <c r="BF443" i="5"/>
  <c r="AE443" i="5"/>
  <c r="AD98" i="5"/>
  <c r="BF98" i="5"/>
  <c r="AE98" i="5"/>
  <c r="AE31" i="5"/>
  <c r="AD31" i="5"/>
  <c r="BF31" i="5"/>
  <c r="BF440" i="5"/>
  <c r="AE440" i="5"/>
  <c r="AD440" i="5"/>
  <c r="AE401" i="5"/>
  <c r="BF401" i="5"/>
  <c r="AD401" i="5"/>
  <c r="BF403" i="5"/>
  <c r="AD403" i="5"/>
  <c r="AE403" i="5"/>
  <c r="BF465" i="5"/>
  <c r="AE465" i="5"/>
  <c r="AD465" i="5"/>
  <c r="AD492" i="5"/>
  <c r="AE492" i="5"/>
  <c r="BF492" i="5"/>
  <c r="AD61" i="5"/>
  <c r="AE61" i="5"/>
  <c r="BF61" i="5"/>
  <c r="AD411" i="5"/>
  <c r="AE411" i="5"/>
  <c r="BF411" i="5"/>
  <c r="BF555" i="5"/>
  <c r="AE555" i="5"/>
  <c r="AD555" i="5"/>
  <c r="AD240" i="5"/>
  <c r="AE240" i="5"/>
  <c r="BF240" i="5"/>
  <c r="AD204" i="5"/>
  <c r="AE204" i="5"/>
  <c r="BF204" i="5"/>
  <c r="AE222" i="5"/>
  <c r="AD222" i="5"/>
  <c r="BF222" i="5"/>
  <c r="AE506" i="5"/>
  <c r="AD506" i="5"/>
  <c r="BF506" i="5"/>
  <c r="BF434" i="5"/>
  <c r="AD434" i="5"/>
  <c r="AE434" i="5"/>
  <c r="BF246" i="5"/>
  <c r="AE246" i="5"/>
  <c r="AD246" i="5"/>
  <c r="AE533" i="5"/>
  <c r="BF533" i="5"/>
  <c r="AD533" i="5"/>
  <c r="BF511" i="5"/>
  <c r="AE511" i="5"/>
  <c r="AD511" i="5"/>
  <c r="BF86" i="5"/>
  <c r="AE86" i="5"/>
  <c r="AD86" i="5"/>
  <c r="AD114" i="5"/>
  <c r="AE114" i="5"/>
  <c r="BF114" i="5"/>
  <c r="BF161" i="5"/>
  <c r="AE161" i="5"/>
  <c r="AD161" i="5"/>
  <c r="BF227" i="5"/>
  <c r="AD227" i="5"/>
  <c r="AE227" i="5"/>
  <c r="AD212" i="5"/>
  <c r="BF212" i="5"/>
  <c r="AE212" i="5"/>
  <c r="AD127" i="5"/>
  <c r="BF127" i="5"/>
  <c r="AE127" i="5"/>
  <c r="AE233" i="5"/>
  <c r="AD233" i="5"/>
  <c r="BF233" i="5"/>
  <c r="AO29" i="4"/>
  <c r="AO51" i="4"/>
  <c r="AU51" i="4" s="1"/>
  <c r="AW51" i="4" s="1"/>
  <c r="AD76" i="5"/>
  <c r="AE76" i="5"/>
  <c r="BF76" i="5"/>
  <c r="BF166" i="5"/>
  <c r="AE166" i="5"/>
  <c r="AD166" i="5"/>
  <c r="BF507" i="5"/>
  <c r="AE507" i="5"/>
  <c r="AD507" i="5"/>
  <c r="BF51" i="5"/>
  <c r="AE51" i="5"/>
  <c r="AD51" i="5"/>
  <c r="AE83" i="5"/>
  <c r="AD83" i="5"/>
  <c r="BF83" i="5"/>
  <c r="AD236" i="5"/>
  <c r="BF236" i="5"/>
  <c r="AE236" i="5"/>
  <c r="AE93" i="5"/>
  <c r="AD93" i="5"/>
  <c r="BF93" i="5"/>
  <c r="AD474" i="5"/>
  <c r="BF474" i="5"/>
  <c r="AE474" i="5"/>
  <c r="BF191" i="5"/>
  <c r="AD191" i="5"/>
  <c r="AE191" i="5"/>
  <c r="AD203" i="5"/>
  <c r="BF203" i="5"/>
  <c r="AE203" i="5"/>
  <c r="AD486" i="5"/>
  <c r="AE486" i="5"/>
  <c r="BF486" i="5"/>
  <c r="BF95" i="5"/>
  <c r="AD95" i="5"/>
  <c r="AE95" i="5"/>
  <c r="AD333" i="5"/>
  <c r="BF333" i="5"/>
  <c r="AE333" i="5"/>
  <c r="AD545" i="5"/>
  <c r="BF545" i="5"/>
  <c r="AE545" i="5"/>
  <c r="BF378" i="5"/>
  <c r="AE378" i="5"/>
  <c r="AD378" i="5"/>
  <c r="AE67" i="5"/>
  <c r="AD67" i="5"/>
  <c r="BF67" i="5"/>
  <c r="BF275" i="5"/>
  <c r="AE275" i="5"/>
  <c r="AD275" i="5"/>
  <c r="BF151" i="5"/>
  <c r="AE151" i="5"/>
  <c r="AD151" i="5"/>
  <c r="BF483" i="5"/>
  <c r="AE483" i="5"/>
  <c r="AD483" i="5"/>
  <c r="AD25" i="5"/>
  <c r="BF25" i="5"/>
  <c r="AE25" i="5"/>
  <c r="AD433" i="5"/>
  <c r="BF433" i="5"/>
  <c r="AE433" i="5"/>
  <c r="AD199" i="5"/>
  <c r="AE199" i="5"/>
  <c r="BF199" i="5"/>
  <c r="BF472" i="5"/>
  <c r="AE472" i="5"/>
  <c r="AD472" i="5"/>
  <c r="AE211" i="5"/>
  <c r="AD211" i="5"/>
  <c r="BF211" i="5"/>
  <c r="AE471" i="5"/>
  <c r="BF471" i="5"/>
  <c r="AD471" i="5"/>
  <c r="BF241" i="5"/>
  <c r="AE241" i="5"/>
  <c r="AD241" i="5"/>
  <c r="AE469" i="5"/>
  <c r="AD469" i="5"/>
  <c r="BF469" i="5"/>
  <c r="BF174" i="5"/>
  <c r="AE174" i="5"/>
  <c r="AD174" i="5"/>
  <c r="AE484" i="5"/>
  <c r="BF484" i="5"/>
  <c r="AD484" i="5"/>
  <c r="AE546" i="5"/>
  <c r="AD546" i="5"/>
  <c r="BF546" i="5"/>
  <c r="AD244" i="5"/>
  <c r="BF244" i="5"/>
  <c r="AE244" i="5"/>
  <c r="BF75" i="5"/>
  <c r="AE75" i="5"/>
  <c r="AD75" i="5"/>
  <c r="AO142" i="4"/>
  <c r="AE137" i="5"/>
  <c r="AD137" i="5"/>
  <c r="BF137" i="5"/>
  <c r="AE328" i="5"/>
  <c r="AD328" i="5"/>
  <c r="BF328" i="5"/>
  <c r="BF110" i="5"/>
  <c r="AD110" i="5"/>
  <c r="AE110" i="5"/>
  <c r="BF500" i="5"/>
  <c r="AE500" i="5"/>
  <c r="AD500" i="5"/>
  <c r="AD164" i="5"/>
  <c r="AE164" i="5"/>
  <c r="BF164" i="5"/>
  <c r="BF554" i="5"/>
  <c r="AD554" i="5"/>
  <c r="AE554" i="5"/>
  <c r="AE329" i="5"/>
  <c r="BF329" i="5"/>
  <c r="AD329" i="5"/>
  <c r="AE195" i="5"/>
  <c r="BF195" i="5"/>
  <c r="AD195" i="5"/>
  <c r="AE349" i="5"/>
  <c r="AD349" i="5"/>
  <c r="BF349" i="5"/>
  <c r="AE339" i="5"/>
  <c r="AD339" i="5"/>
  <c r="BF339" i="5"/>
  <c r="BF417" i="5"/>
  <c r="AD417" i="5"/>
  <c r="AE417" i="5"/>
  <c r="BF262" i="5"/>
  <c r="AE262" i="5"/>
  <c r="AD262" i="5"/>
  <c r="AE412" i="5"/>
  <c r="AD412" i="5"/>
  <c r="BF412" i="5"/>
  <c r="BF495" i="5"/>
  <c r="AD495" i="5"/>
  <c r="AE495" i="5"/>
  <c r="AD394" i="5"/>
  <c r="AE394" i="5"/>
  <c r="BF394" i="5"/>
  <c r="AD229" i="5"/>
  <c r="AE229" i="5"/>
  <c r="BF229" i="5"/>
  <c r="AE99" i="5"/>
  <c r="BF99" i="5"/>
  <c r="AD99" i="5"/>
  <c r="AD159" i="5"/>
  <c r="AE159" i="5"/>
  <c r="BF159" i="5"/>
  <c r="AD523" i="5"/>
  <c r="BF523" i="5"/>
  <c r="AE523" i="5"/>
  <c r="AE532" i="5"/>
  <c r="BF532" i="5"/>
  <c r="AD532" i="5"/>
  <c r="AE237" i="5"/>
  <c r="BF237" i="5"/>
  <c r="AD237" i="5"/>
  <c r="BF274" i="5"/>
  <c r="AE274" i="5"/>
  <c r="AD274" i="5"/>
  <c r="AE359" i="5"/>
  <c r="AD359" i="5"/>
  <c r="BF359" i="5"/>
  <c r="AD136" i="5"/>
  <c r="BF136" i="5"/>
  <c r="AE136" i="5"/>
  <c r="BF548" i="5"/>
  <c r="AE548" i="5"/>
  <c r="AD548" i="5"/>
  <c r="AD189" i="5"/>
  <c r="BF189" i="5"/>
  <c r="AE189" i="5"/>
  <c r="AD146" i="5"/>
  <c r="BF146" i="5"/>
  <c r="AE146" i="5"/>
  <c r="AD169" i="5"/>
  <c r="AE169" i="5"/>
  <c r="BF169" i="5"/>
  <c r="AD520" i="5"/>
  <c r="AE520" i="5"/>
  <c r="BF520" i="5"/>
  <c r="AE310" i="5"/>
  <c r="BF310" i="5"/>
  <c r="AD310" i="5"/>
  <c r="AD59" i="5"/>
  <c r="BF59" i="5"/>
  <c r="AE59" i="5"/>
  <c r="AD39" i="5"/>
  <c r="BF39" i="5"/>
  <c r="AE39" i="5"/>
  <c r="AE496" i="5"/>
  <c r="AD496" i="5"/>
  <c r="BF496" i="5"/>
  <c r="AD517" i="5"/>
  <c r="AE517" i="5"/>
  <c r="BF517" i="5"/>
  <c r="BK372" i="5"/>
  <c r="BJ372" i="5"/>
  <c r="AO39" i="4"/>
  <c r="AU39" i="4" s="1"/>
  <c r="AW39" i="4" s="1"/>
  <c r="BK452" i="5"/>
  <c r="BJ452" i="5"/>
  <c r="AO75" i="4"/>
  <c r="BF525" i="5"/>
  <c r="AE525" i="5"/>
  <c r="AD525" i="5"/>
  <c r="AO153" i="4"/>
  <c r="AU153" i="4" s="1"/>
  <c r="AW153" i="4" s="1"/>
  <c r="AO126" i="4"/>
  <c r="AO156" i="4"/>
  <c r="AO154" i="4"/>
  <c r="AU154" i="4" s="1"/>
  <c r="AW154" i="4" s="1"/>
  <c r="AD170" i="5"/>
  <c r="BF170" i="5"/>
  <c r="AE170" i="5"/>
  <c r="AO131" i="4"/>
  <c r="AU131" i="4" s="1"/>
  <c r="AW131" i="4" s="1"/>
  <c r="AO83" i="4"/>
  <c r="AU83" i="4" s="1"/>
  <c r="AW83" i="4" s="1"/>
  <c r="BK500" i="5"/>
  <c r="BJ500" i="5"/>
  <c r="AO33" i="4"/>
  <c r="AU33" i="4" s="1"/>
  <c r="AW33" i="4" s="1"/>
  <c r="AX11" i="5"/>
  <c r="AY11" i="5"/>
  <c r="AU11" i="5"/>
  <c r="BC11" i="5"/>
  <c r="AV11" i="5"/>
  <c r="AO43" i="4"/>
  <c r="AU43" i="4" s="1"/>
  <c r="AW43" i="4" s="1"/>
  <c r="AO119" i="4"/>
  <c r="AU119" i="4" s="1"/>
  <c r="AW119" i="4" s="1"/>
  <c r="BJ504" i="5"/>
  <c r="BK504" i="5"/>
  <c r="AO28" i="4"/>
  <c r="AU28" i="4" s="1"/>
  <c r="AW28" i="4" s="1"/>
  <c r="AU140" i="4" l="1"/>
  <c r="AW140" i="4" s="1"/>
  <c r="AU21" i="4"/>
  <c r="AW21" i="4" s="1"/>
  <c r="AU19" i="4"/>
  <c r="AW19" i="4" s="1"/>
  <c r="AU127" i="4"/>
  <c r="AW127" i="4" s="1"/>
  <c r="AU114" i="4"/>
  <c r="AW114" i="4" s="1"/>
  <c r="AU32" i="4"/>
  <c r="AW32" i="4" s="1"/>
  <c r="AU54" i="4"/>
  <c r="AW54" i="4" s="1"/>
  <c r="AU29" i="4"/>
  <c r="AW29" i="4" s="1"/>
  <c r="BG418" i="5"/>
  <c r="BL418" i="5" s="1"/>
  <c r="AU126" i="4"/>
  <c r="AW126" i="4" s="1"/>
  <c r="AO76" i="4"/>
  <c r="AU76" i="4" s="1"/>
  <c r="AW76" i="4" s="1"/>
  <c r="AU35" i="4"/>
  <c r="AW35" i="4" s="1"/>
  <c r="AU149" i="4"/>
  <c r="AW149" i="4" s="1"/>
  <c r="AU142" i="4"/>
  <c r="AW142" i="4" s="1"/>
  <c r="AU151" i="4"/>
  <c r="AW151" i="4" s="1"/>
  <c r="AO108" i="4"/>
  <c r="AU108" i="4" s="1"/>
  <c r="AW108" i="4" s="1"/>
  <c r="AU148" i="4"/>
  <c r="AW148" i="4" s="1"/>
  <c r="AU11" i="4"/>
  <c r="AW11" i="4" s="1"/>
  <c r="AU75" i="4"/>
  <c r="AW75" i="4" s="1"/>
  <c r="AO90" i="4"/>
  <c r="AU90" i="4" s="1"/>
  <c r="AW90" i="4" s="1"/>
  <c r="AU30" i="4"/>
  <c r="AW30" i="4" s="1"/>
  <c r="AU26" i="4"/>
  <c r="AW26" i="4" s="1"/>
  <c r="AP31" i="4"/>
  <c r="AQ31" i="4"/>
  <c r="AC31" i="4"/>
  <c r="AD31" i="4" s="1"/>
  <c r="AU117" i="4"/>
  <c r="AW117" i="4" s="1"/>
  <c r="AU14" i="4"/>
  <c r="AW14" i="4" s="1"/>
  <c r="AU134" i="4"/>
  <c r="AW134" i="4" s="1"/>
  <c r="AU105" i="4"/>
  <c r="AW105" i="4" s="1"/>
  <c r="AU155" i="4"/>
  <c r="AW155" i="4" s="1"/>
  <c r="AU62" i="4"/>
  <c r="AW62" i="4" s="1"/>
  <c r="AU141" i="4"/>
  <c r="AW141" i="4" s="1"/>
  <c r="AU13" i="4"/>
  <c r="AW13" i="4" s="1"/>
  <c r="AO124" i="4"/>
  <c r="AU124" i="4" s="1"/>
  <c r="AW124" i="4" s="1"/>
  <c r="AU10" i="4"/>
  <c r="AW10" i="4" s="1"/>
  <c r="AU129" i="4"/>
  <c r="AW129" i="4" s="1"/>
  <c r="AU106" i="4"/>
  <c r="AW106" i="4" s="1"/>
  <c r="AU63" i="4"/>
  <c r="AW63" i="4" s="1"/>
  <c r="AU110" i="4"/>
  <c r="AW110" i="4" s="1"/>
  <c r="AU61" i="4"/>
  <c r="AW61" i="4" s="1"/>
  <c r="AU133" i="4"/>
  <c r="AW133" i="4" s="1"/>
  <c r="AO94" i="4"/>
  <c r="AU94" i="4" s="1"/>
  <c r="AW94" i="4" s="1"/>
  <c r="AO101" i="4"/>
  <c r="AU101" i="4" s="1"/>
  <c r="AW101" i="4" s="1"/>
  <c r="AU122" i="4"/>
  <c r="AW122" i="4" s="1"/>
  <c r="AU74" i="4"/>
  <c r="AW74" i="4" s="1"/>
  <c r="AU152" i="4"/>
  <c r="AW152" i="4" s="1"/>
  <c r="AU109" i="4"/>
  <c r="AW109" i="4" s="1"/>
  <c r="AU97" i="4"/>
  <c r="AW97" i="4" s="1"/>
  <c r="AU118" i="4"/>
  <c r="AW118" i="4" s="1"/>
  <c r="AU69" i="4"/>
  <c r="AW69" i="4" s="1"/>
  <c r="AU93" i="4"/>
  <c r="AW93" i="4" s="1"/>
  <c r="AU144" i="4"/>
  <c r="AW144" i="4" s="1"/>
  <c r="AU112" i="4"/>
  <c r="AW112" i="4" s="1"/>
  <c r="AU25" i="4"/>
  <c r="AW25" i="4" s="1"/>
  <c r="AU24" i="4"/>
  <c r="AW24" i="4" s="1"/>
  <c r="AU12" i="4"/>
  <c r="AW12" i="4" s="1"/>
  <c r="AD11" i="5"/>
  <c r="AU135" i="4"/>
  <c r="AW135" i="4" s="1"/>
  <c r="AU18" i="4"/>
  <c r="AW18" i="4" s="1"/>
  <c r="AU125" i="4"/>
  <c r="AW125" i="4" s="1"/>
  <c r="AU95" i="4"/>
  <c r="AW95" i="4" s="1"/>
  <c r="AU22" i="4"/>
  <c r="AW22" i="4" s="1"/>
  <c r="AU92" i="4"/>
  <c r="AW92" i="4" s="1"/>
  <c r="AU136" i="4"/>
  <c r="AW136" i="4" s="1"/>
  <c r="AU16" i="4"/>
  <c r="AW16" i="4" s="1"/>
  <c r="AU156" i="4"/>
  <c r="AW156" i="4" s="1"/>
  <c r="AU89" i="4"/>
  <c r="AW89" i="4" s="1"/>
  <c r="AU113" i="4"/>
  <c r="AW113" i="4" s="1"/>
  <c r="AO59" i="4"/>
  <c r="AU59" i="4" s="1"/>
  <c r="AW59" i="4" s="1"/>
  <c r="AU20" i="4"/>
  <c r="AW20" i="4" s="1"/>
  <c r="AO137" i="4"/>
  <c r="AU137" i="4" s="1"/>
  <c r="AW137" i="4" s="1"/>
  <c r="AU60" i="4"/>
  <c r="AW60" i="4" s="1"/>
  <c r="AU8" i="4"/>
  <c r="AW8" i="4" s="1"/>
  <c r="AU57" i="4"/>
  <c r="AW57" i="4" s="1"/>
  <c r="AU102" i="4"/>
  <c r="AW102" i="4" s="1"/>
  <c r="AU81" i="4"/>
  <c r="AW81" i="4" s="1"/>
  <c r="AU79" i="4"/>
  <c r="AW79" i="4" s="1"/>
  <c r="AU82" i="4"/>
  <c r="AW82" i="4" s="1"/>
  <c r="AO66" i="4"/>
  <c r="AU66" i="4" s="1"/>
  <c r="AW66" i="4" s="1"/>
  <c r="AU98" i="4"/>
  <c r="AW98" i="4" s="1"/>
  <c r="AU128" i="4"/>
  <c r="AW128" i="4" s="1"/>
  <c r="AU67" i="4"/>
  <c r="AW67" i="4" s="1"/>
  <c r="AU143" i="4"/>
  <c r="AW143" i="4" s="1"/>
  <c r="AU77" i="4"/>
  <c r="AW77" i="4" s="1"/>
  <c r="AU116" i="4"/>
  <c r="AW116" i="4" s="1"/>
  <c r="AU111" i="4"/>
  <c r="AW111" i="4" s="1"/>
  <c r="AU23" i="4"/>
  <c r="AW23" i="4" s="1"/>
  <c r="AU7" i="4"/>
  <c r="AW7" i="4" s="1"/>
  <c r="AU121" i="4"/>
  <c r="AW121" i="4" s="1"/>
  <c r="AU15" i="4"/>
  <c r="AW15" i="4" s="1"/>
  <c r="AU9" i="4"/>
  <c r="AW9" i="4" s="1"/>
  <c r="AU96" i="4"/>
  <c r="AW96" i="4" s="1"/>
  <c r="AU65" i="4"/>
  <c r="AW65" i="4" s="1"/>
  <c r="BH170" i="5"/>
  <c r="BM170" i="5" s="1"/>
  <c r="BG170" i="5"/>
  <c r="BL170" i="5" s="1"/>
  <c r="BH237" i="5"/>
  <c r="BM237" i="5" s="1"/>
  <c r="BG237" i="5"/>
  <c r="BL237" i="5" s="1"/>
  <c r="BH262" i="5"/>
  <c r="BM262" i="5" s="1"/>
  <c r="BG262" i="5"/>
  <c r="BL262" i="5" s="1"/>
  <c r="BG500" i="5"/>
  <c r="BL500" i="5" s="1"/>
  <c r="BH500" i="5"/>
  <c r="BM500" i="5" s="1"/>
  <c r="BG244" i="5"/>
  <c r="BL244" i="5" s="1"/>
  <c r="BH244" i="5"/>
  <c r="BM244" i="5" s="1"/>
  <c r="BG241" i="5"/>
  <c r="BL241" i="5" s="1"/>
  <c r="BH241" i="5"/>
  <c r="BM241" i="5" s="1"/>
  <c r="BG211" i="5"/>
  <c r="BL211" i="5" s="1"/>
  <c r="BH211" i="5"/>
  <c r="BM211" i="5" s="1"/>
  <c r="BG151" i="5"/>
  <c r="BL151" i="5" s="1"/>
  <c r="BH151" i="5"/>
  <c r="BM151" i="5" s="1"/>
  <c r="BG67" i="5"/>
  <c r="BL67" i="5" s="1"/>
  <c r="BH67" i="5"/>
  <c r="BM67" i="5" s="1"/>
  <c r="BG166" i="5"/>
  <c r="BL166" i="5" s="1"/>
  <c r="BH166" i="5"/>
  <c r="BM166" i="5" s="1"/>
  <c r="BG233" i="5"/>
  <c r="BL233" i="5" s="1"/>
  <c r="BH233" i="5"/>
  <c r="BM233" i="5" s="1"/>
  <c r="BG127" i="5"/>
  <c r="BL127" i="5" s="1"/>
  <c r="BH127" i="5"/>
  <c r="BM127" i="5" s="1"/>
  <c r="BH86" i="5"/>
  <c r="BM86" i="5" s="1"/>
  <c r="BG86" i="5"/>
  <c r="BL86" i="5" s="1"/>
  <c r="BH434" i="5"/>
  <c r="BM434" i="5" s="1"/>
  <c r="BG434" i="5"/>
  <c r="BL434" i="5" s="1"/>
  <c r="BG222" i="5"/>
  <c r="BL222" i="5" s="1"/>
  <c r="BH222" i="5"/>
  <c r="BM222" i="5" s="1"/>
  <c r="BG411" i="5"/>
  <c r="BL411" i="5" s="1"/>
  <c r="BH411" i="5"/>
  <c r="BM411" i="5" s="1"/>
  <c r="BG401" i="5"/>
  <c r="BL401" i="5" s="1"/>
  <c r="BH401" i="5"/>
  <c r="BM401" i="5" s="1"/>
  <c r="BH440" i="5"/>
  <c r="BM440" i="5" s="1"/>
  <c r="BG440" i="5"/>
  <c r="BL440" i="5" s="1"/>
  <c r="BG443" i="5"/>
  <c r="BL443" i="5" s="1"/>
  <c r="BH443" i="5"/>
  <c r="BM443" i="5" s="1"/>
  <c r="BH313" i="5"/>
  <c r="BM313" i="5" s="1"/>
  <c r="BG313" i="5"/>
  <c r="BL313" i="5" s="1"/>
  <c r="BG224" i="5"/>
  <c r="BL224" i="5" s="1"/>
  <c r="BH224" i="5"/>
  <c r="BM224" i="5" s="1"/>
  <c r="BG24" i="5"/>
  <c r="BL24" i="5" s="1"/>
  <c r="BH24" i="5"/>
  <c r="BM24" i="5" s="1"/>
  <c r="BG131" i="5"/>
  <c r="BL131" i="5" s="1"/>
  <c r="BH131" i="5"/>
  <c r="BM131" i="5" s="1"/>
  <c r="BH108" i="5"/>
  <c r="BM108" i="5" s="1"/>
  <c r="BG108" i="5"/>
  <c r="BL108" i="5" s="1"/>
  <c r="BH84" i="5"/>
  <c r="BM84" i="5" s="1"/>
  <c r="BG84" i="5"/>
  <c r="BL84" i="5" s="1"/>
  <c r="BG30" i="5"/>
  <c r="BL30" i="5" s="1"/>
  <c r="BH30" i="5"/>
  <c r="BM30" i="5" s="1"/>
  <c r="BH451" i="5"/>
  <c r="BM451" i="5" s="1"/>
  <c r="BG451" i="5"/>
  <c r="BL451" i="5" s="1"/>
  <c r="BH123" i="5"/>
  <c r="BM123" i="5" s="1"/>
  <c r="BG123" i="5"/>
  <c r="BL123" i="5" s="1"/>
  <c r="BH350" i="5"/>
  <c r="BM350" i="5" s="1"/>
  <c r="BG350" i="5"/>
  <c r="BL350" i="5" s="1"/>
  <c r="BH444" i="5"/>
  <c r="BM444" i="5" s="1"/>
  <c r="BG444" i="5"/>
  <c r="BL444" i="5" s="1"/>
  <c r="BG306" i="5"/>
  <c r="BL306" i="5" s="1"/>
  <c r="BH306" i="5"/>
  <c r="BM306" i="5" s="1"/>
  <c r="BH530" i="5"/>
  <c r="BM530" i="5" s="1"/>
  <c r="BG530" i="5"/>
  <c r="BL530" i="5" s="1"/>
  <c r="BH155" i="5"/>
  <c r="BM155" i="5" s="1"/>
  <c r="BG155" i="5"/>
  <c r="BL155" i="5" s="1"/>
  <c r="BH323" i="5"/>
  <c r="BM323" i="5" s="1"/>
  <c r="BG323" i="5"/>
  <c r="BL323" i="5" s="1"/>
  <c r="BH346" i="5"/>
  <c r="BM346" i="5" s="1"/>
  <c r="BG346" i="5"/>
  <c r="BL346" i="5" s="1"/>
  <c r="BG301" i="5"/>
  <c r="BL301" i="5" s="1"/>
  <c r="BH301" i="5"/>
  <c r="BM301" i="5" s="1"/>
  <c r="BG458" i="5"/>
  <c r="BL458" i="5" s="1"/>
  <c r="BH458" i="5"/>
  <c r="BM458" i="5" s="1"/>
  <c r="BH181" i="5"/>
  <c r="BM181" i="5" s="1"/>
  <c r="BG181" i="5"/>
  <c r="BL181" i="5" s="1"/>
  <c r="BG198" i="5"/>
  <c r="BL198" i="5" s="1"/>
  <c r="BH198" i="5"/>
  <c r="BM198" i="5" s="1"/>
  <c r="BH89" i="5"/>
  <c r="BM89" i="5" s="1"/>
  <c r="BG89" i="5"/>
  <c r="BL89" i="5" s="1"/>
  <c r="BG177" i="5"/>
  <c r="BL177" i="5" s="1"/>
  <c r="BH177" i="5"/>
  <c r="BM177" i="5" s="1"/>
  <c r="BG427" i="5"/>
  <c r="BL427" i="5" s="1"/>
  <c r="BH427" i="5"/>
  <c r="BM427" i="5" s="1"/>
  <c r="BG539" i="5"/>
  <c r="BL539" i="5" s="1"/>
  <c r="BH539" i="5"/>
  <c r="BM539" i="5" s="1"/>
  <c r="BG450" i="5"/>
  <c r="BL450" i="5" s="1"/>
  <c r="BH450" i="5"/>
  <c r="BM450" i="5" s="1"/>
  <c r="BH120" i="5"/>
  <c r="BM120" i="5" s="1"/>
  <c r="BG120" i="5"/>
  <c r="BL120" i="5" s="1"/>
  <c r="BH488" i="5"/>
  <c r="BM488" i="5" s="1"/>
  <c r="BG488" i="5"/>
  <c r="BL488" i="5" s="1"/>
  <c r="BG234" i="5"/>
  <c r="BL234" i="5" s="1"/>
  <c r="BH234" i="5"/>
  <c r="BM234" i="5" s="1"/>
  <c r="BH558" i="5"/>
  <c r="BM558" i="5" s="1"/>
  <c r="BG558" i="5"/>
  <c r="BL558" i="5" s="1"/>
  <c r="BH238" i="5"/>
  <c r="BM238" i="5" s="1"/>
  <c r="BG238" i="5"/>
  <c r="BL238" i="5" s="1"/>
  <c r="BH461" i="5"/>
  <c r="BM461" i="5" s="1"/>
  <c r="BG461" i="5"/>
  <c r="BL461" i="5" s="1"/>
  <c r="BH190" i="5"/>
  <c r="BM190" i="5" s="1"/>
  <c r="BG190" i="5"/>
  <c r="BL190" i="5" s="1"/>
  <c r="BH118" i="5"/>
  <c r="BM118" i="5" s="1"/>
  <c r="BG118" i="5"/>
  <c r="BL118" i="5" s="1"/>
  <c r="BH397" i="5"/>
  <c r="BM397" i="5" s="1"/>
  <c r="BG397" i="5"/>
  <c r="BL397" i="5" s="1"/>
  <c r="BH22" i="5"/>
  <c r="BM22" i="5" s="1"/>
  <c r="BG22" i="5"/>
  <c r="BL22" i="5" s="1"/>
  <c r="BG269" i="5"/>
  <c r="BL269" i="5" s="1"/>
  <c r="BH269" i="5"/>
  <c r="BM269" i="5" s="1"/>
  <c r="BH320" i="5"/>
  <c r="BM320" i="5" s="1"/>
  <c r="BG320" i="5"/>
  <c r="BL320" i="5" s="1"/>
  <c r="BG132" i="5"/>
  <c r="BL132" i="5" s="1"/>
  <c r="BH132" i="5"/>
  <c r="BM132" i="5" s="1"/>
  <c r="BG214" i="5"/>
  <c r="BL214" i="5" s="1"/>
  <c r="BH214" i="5"/>
  <c r="BM214" i="5" s="1"/>
  <c r="BG125" i="5"/>
  <c r="BL125" i="5" s="1"/>
  <c r="BH125" i="5"/>
  <c r="BM125" i="5" s="1"/>
  <c r="BG377" i="5"/>
  <c r="BL377" i="5" s="1"/>
  <c r="BH377" i="5"/>
  <c r="BM377" i="5" s="1"/>
  <c r="BG419" i="5"/>
  <c r="BL419" i="5" s="1"/>
  <c r="BH419" i="5"/>
  <c r="BM419" i="5" s="1"/>
  <c r="BH540" i="5"/>
  <c r="BM540" i="5" s="1"/>
  <c r="BG540" i="5"/>
  <c r="BL540" i="5" s="1"/>
  <c r="BG357" i="5"/>
  <c r="BL357" i="5" s="1"/>
  <c r="BH357" i="5"/>
  <c r="BM357" i="5" s="1"/>
  <c r="BH294" i="5"/>
  <c r="BM294" i="5" s="1"/>
  <c r="BG294" i="5"/>
  <c r="BL294" i="5" s="1"/>
  <c r="BG337" i="5"/>
  <c r="BL337" i="5" s="1"/>
  <c r="BH337" i="5"/>
  <c r="BM337" i="5" s="1"/>
  <c r="BH441" i="5"/>
  <c r="BM441" i="5" s="1"/>
  <c r="BG441" i="5"/>
  <c r="BL441" i="5" s="1"/>
  <c r="BH537" i="5"/>
  <c r="BM537" i="5" s="1"/>
  <c r="BG537" i="5"/>
  <c r="BL537" i="5" s="1"/>
  <c r="BG369" i="5"/>
  <c r="BL369" i="5" s="1"/>
  <c r="BH369" i="5"/>
  <c r="BM369" i="5" s="1"/>
  <c r="BH560" i="5"/>
  <c r="BM560" i="5" s="1"/>
  <c r="BG560" i="5"/>
  <c r="BL560" i="5" s="1"/>
  <c r="BG518" i="5"/>
  <c r="BL518" i="5" s="1"/>
  <c r="BH518" i="5"/>
  <c r="BM518" i="5" s="1"/>
  <c r="BG249" i="5"/>
  <c r="BL249" i="5" s="1"/>
  <c r="BH249" i="5"/>
  <c r="BM249" i="5" s="1"/>
  <c r="BH494" i="5"/>
  <c r="BM494" i="5" s="1"/>
  <c r="BG494" i="5"/>
  <c r="BL494" i="5" s="1"/>
  <c r="BH239" i="5"/>
  <c r="BM239" i="5" s="1"/>
  <c r="BG239" i="5"/>
  <c r="BL239" i="5" s="1"/>
  <c r="BH398" i="5"/>
  <c r="BM398" i="5" s="1"/>
  <c r="BG398" i="5"/>
  <c r="BL398" i="5" s="1"/>
  <c r="BG340" i="5"/>
  <c r="BL340" i="5" s="1"/>
  <c r="BH340" i="5"/>
  <c r="BM340" i="5" s="1"/>
  <c r="BG365" i="5"/>
  <c r="BL365" i="5" s="1"/>
  <c r="BH365" i="5"/>
  <c r="BM365" i="5" s="1"/>
  <c r="BH263" i="5"/>
  <c r="BM263" i="5" s="1"/>
  <c r="BG263" i="5"/>
  <c r="BL263" i="5" s="1"/>
  <c r="BG285" i="5"/>
  <c r="BL285" i="5" s="1"/>
  <c r="BH285" i="5"/>
  <c r="BM285" i="5" s="1"/>
  <c r="BH476" i="5"/>
  <c r="BM476" i="5" s="1"/>
  <c r="BG476" i="5"/>
  <c r="BL476" i="5" s="1"/>
  <c r="BG307" i="5"/>
  <c r="BL307" i="5" s="1"/>
  <c r="BH307" i="5"/>
  <c r="BM307" i="5" s="1"/>
  <c r="BG435" i="5"/>
  <c r="BL435" i="5" s="1"/>
  <c r="BH435" i="5"/>
  <c r="BM435" i="5" s="1"/>
  <c r="BG171" i="5"/>
  <c r="BL171" i="5" s="1"/>
  <c r="BH171" i="5"/>
  <c r="BM171" i="5" s="1"/>
  <c r="BH557" i="5"/>
  <c r="BM557" i="5" s="1"/>
  <c r="BG557" i="5"/>
  <c r="BL557" i="5" s="1"/>
  <c r="BG420" i="5"/>
  <c r="BL420" i="5" s="1"/>
  <c r="BH420" i="5"/>
  <c r="BM420" i="5" s="1"/>
  <c r="BG425" i="5"/>
  <c r="BL425" i="5" s="1"/>
  <c r="BH425" i="5"/>
  <c r="BM425" i="5" s="1"/>
  <c r="BG220" i="5"/>
  <c r="BL220" i="5" s="1"/>
  <c r="BH220" i="5"/>
  <c r="BM220" i="5" s="1"/>
  <c r="BG41" i="5"/>
  <c r="BL41" i="5" s="1"/>
  <c r="BH41" i="5"/>
  <c r="BM41" i="5" s="1"/>
  <c r="BG556" i="5"/>
  <c r="BL556" i="5" s="1"/>
  <c r="BH556" i="5"/>
  <c r="BM556" i="5" s="1"/>
  <c r="BG284" i="5"/>
  <c r="BL284" i="5" s="1"/>
  <c r="BH284" i="5"/>
  <c r="BM284" i="5" s="1"/>
  <c r="BH63" i="5"/>
  <c r="BM63" i="5" s="1"/>
  <c r="BG63" i="5"/>
  <c r="BL63" i="5" s="1"/>
  <c r="BG366" i="5"/>
  <c r="BL366" i="5" s="1"/>
  <c r="BH366" i="5"/>
  <c r="BM366" i="5" s="1"/>
  <c r="BG327" i="5"/>
  <c r="BL327" i="5" s="1"/>
  <c r="BH327" i="5"/>
  <c r="BM327" i="5" s="1"/>
  <c r="BH72" i="5"/>
  <c r="BM72" i="5" s="1"/>
  <c r="BG72" i="5"/>
  <c r="BL72" i="5" s="1"/>
  <c r="BG160" i="5"/>
  <c r="BL160" i="5" s="1"/>
  <c r="BH160" i="5"/>
  <c r="BM160" i="5" s="1"/>
  <c r="BH524" i="5"/>
  <c r="BM524" i="5" s="1"/>
  <c r="BG524" i="5"/>
  <c r="BL524" i="5" s="1"/>
  <c r="BH135" i="5"/>
  <c r="BM135" i="5" s="1"/>
  <c r="BG135" i="5"/>
  <c r="BL135" i="5" s="1"/>
  <c r="BG312" i="5"/>
  <c r="BL312" i="5" s="1"/>
  <c r="BH312" i="5"/>
  <c r="BM312" i="5" s="1"/>
  <c r="BH102" i="5"/>
  <c r="BM102" i="5" s="1"/>
  <c r="BG102" i="5"/>
  <c r="BL102" i="5" s="1"/>
  <c r="BH467" i="5"/>
  <c r="BM467" i="5" s="1"/>
  <c r="BG467" i="5"/>
  <c r="BL467" i="5" s="1"/>
  <c r="BH464" i="5"/>
  <c r="BM464" i="5" s="1"/>
  <c r="BG464" i="5"/>
  <c r="BL464" i="5" s="1"/>
  <c r="BH387" i="5"/>
  <c r="BM387" i="5" s="1"/>
  <c r="BG387" i="5"/>
  <c r="BL387" i="5" s="1"/>
  <c r="BG116" i="5"/>
  <c r="BL116" i="5" s="1"/>
  <c r="BH116" i="5"/>
  <c r="BM116" i="5" s="1"/>
  <c r="BH528" i="5"/>
  <c r="BM528" i="5" s="1"/>
  <c r="BG528" i="5"/>
  <c r="BL528" i="5" s="1"/>
  <c r="BH300" i="5"/>
  <c r="BM300" i="5" s="1"/>
  <c r="BG300" i="5"/>
  <c r="BL300" i="5" s="1"/>
  <c r="BG42" i="5"/>
  <c r="BL42" i="5" s="1"/>
  <c r="BH42" i="5"/>
  <c r="BM42" i="5" s="1"/>
  <c r="BG242" i="5"/>
  <c r="BL242" i="5" s="1"/>
  <c r="BH242" i="5"/>
  <c r="BM242" i="5" s="1"/>
  <c r="BG447" i="5"/>
  <c r="BL447" i="5" s="1"/>
  <c r="BH447" i="5"/>
  <c r="BM447" i="5" s="1"/>
  <c r="BG35" i="5"/>
  <c r="BL35" i="5" s="1"/>
  <c r="BH35" i="5"/>
  <c r="BM35" i="5" s="1"/>
  <c r="BG188" i="5"/>
  <c r="BL188" i="5" s="1"/>
  <c r="BH188" i="5"/>
  <c r="BM188" i="5" s="1"/>
  <c r="BG219" i="5"/>
  <c r="BL219" i="5" s="1"/>
  <c r="BH219" i="5"/>
  <c r="BM219" i="5" s="1"/>
  <c r="BG54" i="5"/>
  <c r="BL54" i="5" s="1"/>
  <c r="BH54" i="5"/>
  <c r="BM54" i="5" s="1"/>
  <c r="BG481" i="5"/>
  <c r="BL481" i="5" s="1"/>
  <c r="BH481" i="5"/>
  <c r="BM481" i="5" s="1"/>
  <c r="BG538" i="5"/>
  <c r="BL538" i="5" s="1"/>
  <c r="BH538" i="5"/>
  <c r="BM538" i="5" s="1"/>
  <c r="BH370" i="5"/>
  <c r="BM370" i="5" s="1"/>
  <c r="BG370" i="5"/>
  <c r="BL370" i="5" s="1"/>
  <c r="BG144" i="5"/>
  <c r="BL144" i="5" s="1"/>
  <c r="BH144" i="5"/>
  <c r="BM144" i="5" s="1"/>
  <c r="BH413" i="5"/>
  <c r="BM413" i="5" s="1"/>
  <c r="BG413" i="5"/>
  <c r="BL413" i="5" s="1"/>
  <c r="BG456" i="5"/>
  <c r="BL456" i="5" s="1"/>
  <c r="BH456" i="5"/>
  <c r="BM456" i="5" s="1"/>
  <c r="BG48" i="5"/>
  <c r="BL48" i="5" s="1"/>
  <c r="BH48" i="5"/>
  <c r="BM48" i="5" s="1"/>
  <c r="BH493" i="5"/>
  <c r="BM493" i="5" s="1"/>
  <c r="BG493" i="5"/>
  <c r="BL493" i="5" s="1"/>
  <c r="BH388" i="5"/>
  <c r="BM388" i="5" s="1"/>
  <c r="BG388" i="5"/>
  <c r="BL388" i="5" s="1"/>
  <c r="BG295" i="5"/>
  <c r="BL295" i="5" s="1"/>
  <c r="BH295" i="5"/>
  <c r="BM295" i="5" s="1"/>
  <c r="BH253" i="5"/>
  <c r="BM253" i="5" s="1"/>
  <c r="BG253" i="5"/>
  <c r="BL253" i="5" s="1"/>
  <c r="BG544" i="5"/>
  <c r="BL544" i="5" s="1"/>
  <c r="BH544" i="5"/>
  <c r="BM544" i="5" s="1"/>
  <c r="BG210" i="5"/>
  <c r="BL210" i="5" s="1"/>
  <c r="BH210" i="5"/>
  <c r="BM210" i="5" s="1"/>
  <c r="BH232" i="5"/>
  <c r="BM232" i="5" s="1"/>
  <c r="BG232" i="5"/>
  <c r="BL232" i="5" s="1"/>
  <c r="BG318" i="5"/>
  <c r="BL318" i="5" s="1"/>
  <c r="BH318" i="5"/>
  <c r="BM318" i="5" s="1"/>
  <c r="BH516" i="5"/>
  <c r="BM516" i="5" s="1"/>
  <c r="BG516" i="5"/>
  <c r="BL516" i="5" s="1"/>
  <c r="BH20" i="5"/>
  <c r="BM20" i="5" s="1"/>
  <c r="BG20" i="5"/>
  <c r="BL20" i="5" s="1"/>
  <c r="BH182" i="5"/>
  <c r="BM182" i="5" s="1"/>
  <c r="BG182" i="5"/>
  <c r="BL182" i="5" s="1"/>
  <c r="BH470" i="5"/>
  <c r="BM470" i="5" s="1"/>
  <c r="BG470" i="5"/>
  <c r="BL470" i="5" s="1"/>
  <c r="BH383" i="5"/>
  <c r="BM383" i="5" s="1"/>
  <c r="BG383" i="5"/>
  <c r="BL383" i="5" s="1"/>
  <c r="BH479" i="5"/>
  <c r="BM479" i="5" s="1"/>
  <c r="BG479" i="5"/>
  <c r="BL479" i="5" s="1"/>
  <c r="BG297" i="5"/>
  <c r="BL297" i="5" s="1"/>
  <c r="BH297" i="5"/>
  <c r="BM297" i="5" s="1"/>
  <c r="BH103" i="5"/>
  <c r="BM103" i="5" s="1"/>
  <c r="BG103" i="5"/>
  <c r="BL103" i="5" s="1"/>
  <c r="BH361" i="5"/>
  <c r="BM361" i="5" s="1"/>
  <c r="BG361" i="5"/>
  <c r="BL361" i="5" s="1"/>
  <c r="BG52" i="5"/>
  <c r="BL52" i="5" s="1"/>
  <c r="BH52" i="5"/>
  <c r="BM52" i="5" s="1"/>
  <c r="BH436" i="5"/>
  <c r="BM436" i="5" s="1"/>
  <c r="BG436" i="5"/>
  <c r="BL436" i="5" s="1"/>
  <c r="BG197" i="5"/>
  <c r="BL197" i="5" s="1"/>
  <c r="BH197" i="5"/>
  <c r="BM197" i="5" s="1"/>
  <c r="BG101" i="5"/>
  <c r="BL101" i="5" s="1"/>
  <c r="BH101" i="5"/>
  <c r="BM101" i="5" s="1"/>
  <c r="BG496" i="5"/>
  <c r="BL496" i="5" s="1"/>
  <c r="BH496" i="5"/>
  <c r="BM496" i="5" s="1"/>
  <c r="BG159" i="5"/>
  <c r="BL159" i="5" s="1"/>
  <c r="BH159" i="5"/>
  <c r="BM159" i="5" s="1"/>
  <c r="BG339" i="5"/>
  <c r="BL339" i="5" s="1"/>
  <c r="BH339" i="5"/>
  <c r="BM339" i="5" s="1"/>
  <c r="BG328" i="5"/>
  <c r="BL328" i="5" s="1"/>
  <c r="BH328" i="5"/>
  <c r="BM328" i="5" s="1"/>
  <c r="BD11" i="5"/>
  <c r="BE11" i="5"/>
  <c r="BG310" i="5"/>
  <c r="BL310" i="5" s="1"/>
  <c r="BH310" i="5"/>
  <c r="BM310" i="5" s="1"/>
  <c r="BG189" i="5"/>
  <c r="BL189" i="5" s="1"/>
  <c r="BH189" i="5"/>
  <c r="BM189" i="5" s="1"/>
  <c r="BG548" i="5"/>
  <c r="BL548" i="5" s="1"/>
  <c r="BH548" i="5"/>
  <c r="BM548" i="5" s="1"/>
  <c r="BG359" i="5"/>
  <c r="BL359" i="5" s="1"/>
  <c r="BH359" i="5"/>
  <c r="BM359" i="5" s="1"/>
  <c r="BG394" i="5"/>
  <c r="BL394" i="5" s="1"/>
  <c r="BH394" i="5"/>
  <c r="BM394" i="5" s="1"/>
  <c r="BG472" i="5"/>
  <c r="BL472" i="5" s="1"/>
  <c r="BH472" i="5"/>
  <c r="BM472" i="5" s="1"/>
  <c r="BG25" i="5"/>
  <c r="BL25" i="5" s="1"/>
  <c r="BH25" i="5"/>
  <c r="BM25" i="5" s="1"/>
  <c r="BG483" i="5"/>
  <c r="BL483" i="5" s="1"/>
  <c r="BH483" i="5"/>
  <c r="BM483" i="5" s="1"/>
  <c r="BH378" i="5"/>
  <c r="BM378" i="5" s="1"/>
  <c r="BG378" i="5"/>
  <c r="BL378" i="5" s="1"/>
  <c r="BH474" i="5"/>
  <c r="BM474" i="5" s="1"/>
  <c r="BG474" i="5"/>
  <c r="BL474" i="5" s="1"/>
  <c r="BH83" i="5"/>
  <c r="BM83" i="5" s="1"/>
  <c r="BG83" i="5"/>
  <c r="BL83" i="5" s="1"/>
  <c r="BH507" i="5"/>
  <c r="BM507" i="5" s="1"/>
  <c r="BG507" i="5"/>
  <c r="BL507" i="5" s="1"/>
  <c r="BG76" i="5"/>
  <c r="BL76" i="5" s="1"/>
  <c r="BH76" i="5"/>
  <c r="BM76" i="5" s="1"/>
  <c r="BH533" i="5"/>
  <c r="BM533" i="5" s="1"/>
  <c r="BG533" i="5"/>
  <c r="BL533" i="5" s="1"/>
  <c r="BG246" i="5"/>
  <c r="BL246" i="5" s="1"/>
  <c r="BH246" i="5"/>
  <c r="BM246" i="5" s="1"/>
  <c r="BG506" i="5"/>
  <c r="BL506" i="5" s="1"/>
  <c r="BH506" i="5"/>
  <c r="BM506" i="5" s="1"/>
  <c r="BG31" i="5"/>
  <c r="BL31" i="5" s="1"/>
  <c r="BH31" i="5"/>
  <c r="BM31" i="5" s="1"/>
  <c r="BG98" i="5"/>
  <c r="BL98" i="5" s="1"/>
  <c r="BH98" i="5"/>
  <c r="BM98" i="5" s="1"/>
  <c r="BG225" i="5"/>
  <c r="BL225" i="5" s="1"/>
  <c r="BH225" i="5"/>
  <c r="BM225" i="5" s="1"/>
  <c r="BH363" i="5"/>
  <c r="BM363" i="5" s="1"/>
  <c r="BG363" i="5"/>
  <c r="BL363" i="5" s="1"/>
  <c r="BH226" i="5"/>
  <c r="BM226" i="5" s="1"/>
  <c r="BG226" i="5"/>
  <c r="BL226" i="5" s="1"/>
  <c r="BG550" i="5"/>
  <c r="BL550" i="5" s="1"/>
  <c r="BH550" i="5"/>
  <c r="BM550" i="5" s="1"/>
  <c r="BH489" i="5"/>
  <c r="BM489" i="5" s="1"/>
  <c r="BG489" i="5"/>
  <c r="BL489" i="5" s="1"/>
  <c r="BH438" i="5"/>
  <c r="BM438" i="5" s="1"/>
  <c r="BG438" i="5"/>
  <c r="BL438" i="5" s="1"/>
  <c r="BH466" i="5"/>
  <c r="BM466" i="5" s="1"/>
  <c r="BG466" i="5"/>
  <c r="BL466" i="5" s="1"/>
  <c r="AQ11" i="5"/>
  <c r="BI11" i="5"/>
  <c r="AR11" i="5"/>
  <c r="BH527" i="5"/>
  <c r="BM527" i="5" s="1"/>
  <c r="BG527" i="5"/>
  <c r="BL527" i="5" s="1"/>
  <c r="BG302" i="5"/>
  <c r="BL302" i="5" s="1"/>
  <c r="BH302" i="5"/>
  <c r="BM302" i="5" s="1"/>
  <c r="BH78" i="5"/>
  <c r="BM78" i="5" s="1"/>
  <c r="BG78" i="5"/>
  <c r="BL78" i="5" s="1"/>
  <c r="BH82" i="5"/>
  <c r="BM82" i="5" s="1"/>
  <c r="BG82" i="5"/>
  <c r="BL82" i="5" s="1"/>
  <c r="BH353" i="5"/>
  <c r="BM353" i="5" s="1"/>
  <c r="BG353" i="5"/>
  <c r="BL353" i="5" s="1"/>
  <c r="BG209" i="5"/>
  <c r="BL209" i="5" s="1"/>
  <c r="BH209" i="5"/>
  <c r="BM209" i="5" s="1"/>
  <c r="BH19" i="5"/>
  <c r="BM19" i="5" s="1"/>
  <c r="BG19" i="5"/>
  <c r="BL19" i="5" s="1"/>
  <c r="BG374" i="5"/>
  <c r="BL374" i="5" s="1"/>
  <c r="BH374" i="5"/>
  <c r="BM374" i="5" s="1"/>
  <c r="BH105" i="5"/>
  <c r="BM105" i="5" s="1"/>
  <c r="BG105" i="5"/>
  <c r="BL105" i="5" s="1"/>
  <c r="BG303" i="5"/>
  <c r="BL303" i="5" s="1"/>
  <c r="BH303" i="5"/>
  <c r="BM303" i="5" s="1"/>
  <c r="BG47" i="5"/>
  <c r="BL47" i="5" s="1"/>
  <c r="BH47" i="5"/>
  <c r="BM47" i="5" s="1"/>
  <c r="BH322" i="5"/>
  <c r="BM322" i="5" s="1"/>
  <c r="BG322" i="5"/>
  <c r="BL322" i="5" s="1"/>
  <c r="BG258" i="5"/>
  <c r="BL258" i="5" s="1"/>
  <c r="BH258" i="5"/>
  <c r="BM258" i="5" s="1"/>
  <c r="BG270" i="5"/>
  <c r="BL270" i="5" s="1"/>
  <c r="BH270" i="5"/>
  <c r="BM270" i="5" s="1"/>
  <c r="BG176" i="5"/>
  <c r="BL176" i="5" s="1"/>
  <c r="BH176" i="5"/>
  <c r="BM176" i="5" s="1"/>
  <c r="BH508" i="5"/>
  <c r="BM508" i="5" s="1"/>
  <c r="BG508" i="5"/>
  <c r="BL508" i="5" s="1"/>
  <c r="BG414" i="5"/>
  <c r="BL414" i="5" s="1"/>
  <c r="BH414" i="5"/>
  <c r="BM414" i="5" s="1"/>
  <c r="BH230" i="5"/>
  <c r="BM230" i="5" s="1"/>
  <c r="BG230" i="5"/>
  <c r="BL230" i="5" s="1"/>
  <c r="BH509" i="5"/>
  <c r="BM509" i="5" s="1"/>
  <c r="BG509" i="5"/>
  <c r="BL509" i="5" s="1"/>
  <c r="BG292" i="5"/>
  <c r="BL292" i="5" s="1"/>
  <c r="BH292" i="5"/>
  <c r="BM292" i="5" s="1"/>
  <c r="BG446" i="5"/>
  <c r="BL446" i="5" s="1"/>
  <c r="BH446" i="5"/>
  <c r="BM446" i="5" s="1"/>
  <c r="BH422" i="5"/>
  <c r="BM422" i="5" s="1"/>
  <c r="BG422" i="5"/>
  <c r="BL422" i="5" s="1"/>
  <c r="BG43" i="5"/>
  <c r="BL43" i="5" s="1"/>
  <c r="BH43" i="5"/>
  <c r="BM43" i="5" s="1"/>
  <c r="BG91" i="5"/>
  <c r="BL91" i="5" s="1"/>
  <c r="BH91" i="5"/>
  <c r="BM91" i="5" s="1"/>
  <c r="BH37" i="5"/>
  <c r="BM37" i="5" s="1"/>
  <c r="BG37" i="5"/>
  <c r="BL37" i="5" s="1"/>
  <c r="BH248" i="5"/>
  <c r="BM248" i="5" s="1"/>
  <c r="BG248" i="5"/>
  <c r="BL248" i="5" s="1"/>
  <c r="BH529" i="5"/>
  <c r="BM529" i="5" s="1"/>
  <c r="BG529" i="5"/>
  <c r="BL529" i="5" s="1"/>
  <c r="BG354" i="5"/>
  <c r="BL354" i="5" s="1"/>
  <c r="BH354" i="5"/>
  <c r="BM354" i="5" s="1"/>
  <c r="BH255" i="5"/>
  <c r="BM255" i="5" s="1"/>
  <c r="BG255" i="5"/>
  <c r="BL255" i="5" s="1"/>
  <c r="BG121" i="5"/>
  <c r="BL121" i="5" s="1"/>
  <c r="BH121" i="5"/>
  <c r="BM121" i="5" s="1"/>
  <c r="BH124" i="5"/>
  <c r="BM124" i="5" s="1"/>
  <c r="BG124" i="5"/>
  <c r="BL124" i="5" s="1"/>
  <c r="BG402" i="5"/>
  <c r="BL402" i="5" s="1"/>
  <c r="BH402" i="5"/>
  <c r="BM402" i="5" s="1"/>
  <c r="BH324" i="5"/>
  <c r="BM324" i="5" s="1"/>
  <c r="BG324" i="5"/>
  <c r="BL324" i="5" s="1"/>
  <c r="BG283" i="5"/>
  <c r="BL283" i="5" s="1"/>
  <c r="BH283" i="5"/>
  <c r="BM283" i="5" s="1"/>
  <c r="BG251" i="5"/>
  <c r="BL251" i="5" s="1"/>
  <c r="BH251" i="5"/>
  <c r="BM251" i="5" s="1"/>
  <c r="BG291" i="5"/>
  <c r="BL291" i="5" s="1"/>
  <c r="BH291" i="5"/>
  <c r="BM291" i="5" s="1"/>
  <c r="BG343" i="5"/>
  <c r="BL343" i="5" s="1"/>
  <c r="BH343" i="5"/>
  <c r="BM343" i="5" s="1"/>
  <c r="BG65" i="5"/>
  <c r="BL65" i="5" s="1"/>
  <c r="BH65" i="5"/>
  <c r="BM65" i="5" s="1"/>
  <c r="BH331" i="5"/>
  <c r="BM331" i="5" s="1"/>
  <c r="BG331" i="5"/>
  <c r="BL331" i="5" s="1"/>
  <c r="BG316" i="5"/>
  <c r="BL316" i="5" s="1"/>
  <c r="BH316" i="5"/>
  <c r="BM316" i="5" s="1"/>
  <c r="BG522" i="5"/>
  <c r="BL522" i="5" s="1"/>
  <c r="BH522" i="5"/>
  <c r="BM522" i="5" s="1"/>
  <c r="BG70" i="5"/>
  <c r="BL70" i="5" s="1"/>
  <c r="BH70" i="5"/>
  <c r="BM70" i="5" s="1"/>
  <c r="BH12" i="5"/>
  <c r="BM12" i="5" s="1"/>
  <c r="BG12" i="5"/>
  <c r="BL12" i="5" s="1"/>
  <c r="BG186" i="5"/>
  <c r="BL186" i="5" s="1"/>
  <c r="BH186" i="5"/>
  <c r="BM186" i="5" s="1"/>
  <c r="BG66" i="5"/>
  <c r="BL66" i="5" s="1"/>
  <c r="BH66" i="5"/>
  <c r="BM66" i="5" s="1"/>
  <c r="BG325" i="5"/>
  <c r="BL325" i="5" s="1"/>
  <c r="BH325" i="5"/>
  <c r="BM325" i="5" s="1"/>
  <c r="BG268" i="5"/>
  <c r="BL268" i="5" s="1"/>
  <c r="BH268" i="5"/>
  <c r="BM268" i="5" s="1"/>
  <c r="BG217" i="5"/>
  <c r="BL217" i="5" s="1"/>
  <c r="BH217" i="5"/>
  <c r="BM217" i="5" s="1"/>
  <c r="BG430" i="5"/>
  <c r="BL430" i="5" s="1"/>
  <c r="BH430" i="5"/>
  <c r="BM430" i="5" s="1"/>
  <c r="BH410" i="5"/>
  <c r="BM410" i="5" s="1"/>
  <c r="BG410" i="5"/>
  <c r="BL410" i="5" s="1"/>
  <c r="BG534" i="5"/>
  <c r="BL534" i="5" s="1"/>
  <c r="BH534" i="5"/>
  <c r="BM534" i="5" s="1"/>
  <c r="BH202" i="5"/>
  <c r="BM202" i="5" s="1"/>
  <c r="BG202" i="5"/>
  <c r="BL202" i="5" s="1"/>
  <c r="BG498" i="5"/>
  <c r="BL498" i="5" s="1"/>
  <c r="BH498" i="5"/>
  <c r="BM498" i="5" s="1"/>
  <c r="BG40" i="5"/>
  <c r="BL40" i="5" s="1"/>
  <c r="BH40" i="5"/>
  <c r="BM40" i="5" s="1"/>
  <c r="BG109" i="5"/>
  <c r="BL109" i="5" s="1"/>
  <c r="BH109" i="5"/>
  <c r="BM109" i="5" s="1"/>
  <c r="BG504" i="5"/>
  <c r="BL504" i="5" s="1"/>
  <c r="BH504" i="5"/>
  <c r="BM504" i="5" s="1"/>
  <c r="BG256" i="5"/>
  <c r="BL256" i="5" s="1"/>
  <c r="BH256" i="5"/>
  <c r="BM256" i="5" s="1"/>
  <c r="BH172" i="5"/>
  <c r="BM172" i="5" s="1"/>
  <c r="BG172" i="5"/>
  <c r="BL172" i="5" s="1"/>
  <c r="BH348" i="5"/>
  <c r="BM348" i="5" s="1"/>
  <c r="BG348" i="5"/>
  <c r="BL348" i="5" s="1"/>
  <c r="BH218" i="5"/>
  <c r="BM218" i="5" s="1"/>
  <c r="BG218" i="5"/>
  <c r="BL218" i="5" s="1"/>
  <c r="BG392" i="5"/>
  <c r="BL392" i="5" s="1"/>
  <c r="BH392" i="5"/>
  <c r="BM392" i="5" s="1"/>
  <c r="BH250" i="5"/>
  <c r="BM250" i="5" s="1"/>
  <c r="BG250" i="5"/>
  <c r="BL250" i="5" s="1"/>
  <c r="BH321" i="5"/>
  <c r="BM321" i="5" s="1"/>
  <c r="BG321" i="5"/>
  <c r="BL321" i="5" s="1"/>
  <c r="BG168" i="5"/>
  <c r="BL168" i="5" s="1"/>
  <c r="BH168" i="5"/>
  <c r="BM168" i="5" s="1"/>
  <c r="BG477" i="5"/>
  <c r="BL477" i="5" s="1"/>
  <c r="BH477" i="5"/>
  <c r="BM477" i="5" s="1"/>
  <c r="BG231" i="5"/>
  <c r="BL231" i="5" s="1"/>
  <c r="BH231" i="5"/>
  <c r="BM231" i="5" s="1"/>
  <c r="BH482" i="5"/>
  <c r="BM482" i="5" s="1"/>
  <c r="BG482" i="5"/>
  <c r="BL482" i="5" s="1"/>
  <c r="BG429" i="5"/>
  <c r="BL429" i="5" s="1"/>
  <c r="BH429" i="5"/>
  <c r="BM429" i="5" s="1"/>
  <c r="BG254" i="5"/>
  <c r="BL254" i="5" s="1"/>
  <c r="BH254" i="5"/>
  <c r="BM254" i="5" s="1"/>
  <c r="BH92" i="5"/>
  <c r="BM92" i="5" s="1"/>
  <c r="BG92" i="5"/>
  <c r="BL92" i="5" s="1"/>
  <c r="BG228" i="5"/>
  <c r="BL228" i="5" s="1"/>
  <c r="BH228" i="5"/>
  <c r="BM228" i="5" s="1"/>
  <c r="BH173" i="5"/>
  <c r="BM173" i="5" s="1"/>
  <c r="BG173" i="5"/>
  <c r="BL173" i="5" s="1"/>
  <c r="BG288" i="5"/>
  <c r="BL288" i="5" s="1"/>
  <c r="BH288" i="5"/>
  <c r="BM288" i="5" s="1"/>
  <c r="BH128" i="5"/>
  <c r="BM128" i="5" s="1"/>
  <c r="BG128" i="5"/>
  <c r="BL128" i="5" s="1"/>
  <c r="BH207" i="5"/>
  <c r="BM207" i="5" s="1"/>
  <c r="BG207" i="5"/>
  <c r="BL207" i="5" s="1"/>
  <c r="BG279" i="5"/>
  <c r="BL279" i="5" s="1"/>
  <c r="BH279" i="5"/>
  <c r="BM279" i="5" s="1"/>
  <c r="BG437" i="5"/>
  <c r="BL437" i="5" s="1"/>
  <c r="BH437" i="5"/>
  <c r="BM437" i="5" s="1"/>
  <c r="BG334" i="5"/>
  <c r="BL334" i="5" s="1"/>
  <c r="BH334" i="5"/>
  <c r="BM334" i="5" s="1"/>
  <c r="BG552" i="5"/>
  <c r="BL552" i="5" s="1"/>
  <c r="BH552" i="5"/>
  <c r="BM552" i="5" s="1"/>
  <c r="BG104" i="5"/>
  <c r="BL104" i="5" s="1"/>
  <c r="BH104" i="5"/>
  <c r="BM104" i="5" s="1"/>
  <c r="BG531" i="5"/>
  <c r="BL531" i="5" s="1"/>
  <c r="BH531" i="5"/>
  <c r="BM531" i="5" s="1"/>
  <c r="BG38" i="5"/>
  <c r="BL38" i="5" s="1"/>
  <c r="BH38" i="5"/>
  <c r="BM38" i="5" s="1"/>
  <c r="BH97" i="5"/>
  <c r="BM97" i="5" s="1"/>
  <c r="BG97" i="5"/>
  <c r="BL97" i="5" s="1"/>
  <c r="BH96" i="5"/>
  <c r="BM96" i="5" s="1"/>
  <c r="BG96" i="5"/>
  <c r="BL96" i="5" s="1"/>
  <c r="BH26" i="5"/>
  <c r="BM26" i="5" s="1"/>
  <c r="BG26" i="5"/>
  <c r="BL26" i="5" s="1"/>
  <c r="BG183" i="5"/>
  <c r="BL183" i="5" s="1"/>
  <c r="BH183" i="5"/>
  <c r="BM183" i="5" s="1"/>
  <c r="BH559" i="5"/>
  <c r="BM559" i="5" s="1"/>
  <c r="BG559" i="5"/>
  <c r="BL559" i="5" s="1"/>
  <c r="BH39" i="5"/>
  <c r="BM39" i="5" s="1"/>
  <c r="BG39" i="5"/>
  <c r="BL39" i="5" s="1"/>
  <c r="BH517" i="5"/>
  <c r="BM517" i="5" s="1"/>
  <c r="BG517" i="5"/>
  <c r="BL517" i="5" s="1"/>
  <c r="BH99" i="5"/>
  <c r="BM99" i="5" s="1"/>
  <c r="BG99" i="5"/>
  <c r="BL99" i="5" s="1"/>
  <c r="BG525" i="5"/>
  <c r="BL525" i="5" s="1"/>
  <c r="BH525" i="5"/>
  <c r="BM525" i="5" s="1"/>
  <c r="BG59" i="5"/>
  <c r="BL59" i="5" s="1"/>
  <c r="BH59" i="5"/>
  <c r="BM59" i="5" s="1"/>
  <c r="BG169" i="5"/>
  <c r="BL169" i="5" s="1"/>
  <c r="BH169" i="5"/>
  <c r="BM169" i="5" s="1"/>
  <c r="BG146" i="5"/>
  <c r="BL146" i="5" s="1"/>
  <c r="BH146" i="5"/>
  <c r="BM146" i="5" s="1"/>
  <c r="BH274" i="5"/>
  <c r="BM274" i="5" s="1"/>
  <c r="BG274" i="5"/>
  <c r="BL274" i="5" s="1"/>
  <c r="BH523" i="5"/>
  <c r="BM523" i="5" s="1"/>
  <c r="BG523" i="5"/>
  <c r="BL523" i="5" s="1"/>
  <c r="BG229" i="5"/>
  <c r="BL229" i="5" s="1"/>
  <c r="BH229" i="5"/>
  <c r="BM229" i="5" s="1"/>
  <c r="BH495" i="5"/>
  <c r="BM495" i="5" s="1"/>
  <c r="BG495" i="5"/>
  <c r="BL495" i="5" s="1"/>
  <c r="BH329" i="5"/>
  <c r="BM329" i="5" s="1"/>
  <c r="BG329" i="5"/>
  <c r="BL329" i="5" s="1"/>
  <c r="BH554" i="5"/>
  <c r="BM554" i="5" s="1"/>
  <c r="BG554" i="5"/>
  <c r="BL554" i="5" s="1"/>
  <c r="BG75" i="5"/>
  <c r="BL75" i="5" s="1"/>
  <c r="BH75" i="5"/>
  <c r="BM75" i="5" s="1"/>
  <c r="BH546" i="5"/>
  <c r="BM546" i="5" s="1"/>
  <c r="BG546" i="5"/>
  <c r="BL546" i="5" s="1"/>
  <c r="BH484" i="5"/>
  <c r="BM484" i="5" s="1"/>
  <c r="BG484" i="5"/>
  <c r="BL484" i="5" s="1"/>
  <c r="BH174" i="5"/>
  <c r="BM174" i="5" s="1"/>
  <c r="BG174" i="5"/>
  <c r="BL174" i="5" s="1"/>
  <c r="BH471" i="5"/>
  <c r="BM471" i="5" s="1"/>
  <c r="BG471" i="5"/>
  <c r="BL471" i="5" s="1"/>
  <c r="BH199" i="5"/>
  <c r="BM199" i="5" s="1"/>
  <c r="BG199" i="5"/>
  <c r="BL199" i="5" s="1"/>
  <c r="BG433" i="5"/>
  <c r="BL433" i="5" s="1"/>
  <c r="BH433" i="5"/>
  <c r="BM433" i="5" s="1"/>
  <c r="BG333" i="5"/>
  <c r="BL333" i="5" s="1"/>
  <c r="BH333" i="5"/>
  <c r="BM333" i="5" s="1"/>
  <c r="BH95" i="5"/>
  <c r="BM95" i="5" s="1"/>
  <c r="BG95" i="5"/>
  <c r="BL95" i="5" s="1"/>
  <c r="BG51" i="5"/>
  <c r="BL51" i="5" s="1"/>
  <c r="BH51" i="5"/>
  <c r="BM51" i="5" s="1"/>
  <c r="BH161" i="5"/>
  <c r="BM161" i="5" s="1"/>
  <c r="BG161" i="5"/>
  <c r="BL161" i="5" s="1"/>
  <c r="BH240" i="5"/>
  <c r="BM240" i="5" s="1"/>
  <c r="BG240" i="5"/>
  <c r="BL240" i="5" s="1"/>
  <c r="BH492" i="5"/>
  <c r="BM492" i="5" s="1"/>
  <c r="BG492" i="5"/>
  <c r="BL492" i="5" s="1"/>
  <c r="BG403" i="5"/>
  <c r="BL403" i="5" s="1"/>
  <c r="BH403" i="5"/>
  <c r="BM403" i="5" s="1"/>
  <c r="BH475" i="5"/>
  <c r="BM475" i="5" s="1"/>
  <c r="BG475" i="5"/>
  <c r="BL475" i="5" s="1"/>
  <c r="BH213" i="5"/>
  <c r="BM213" i="5" s="1"/>
  <c r="BG213" i="5"/>
  <c r="BL213" i="5" s="1"/>
  <c r="BH49" i="5"/>
  <c r="BM49" i="5" s="1"/>
  <c r="BG49" i="5"/>
  <c r="BL49" i="5" s="1"/>
  <c r="BH281" i="5"/>
  <c r="BM281" i="5" s="1"/>
  <c r="BG281" i="5"/>
  <c r="BL281" i="5" s="1"/>
  <c r="BG382" i="5"/>
  <c r="BL382" i="5" s="1"/>
  <c r="BH382" i="5"/>
  <c r="BM382" i="5" s="1"/>
  <c r="BH257" i="5"/>
  <c r="BM257" i="5" s="1"/>
  <c r="BG257" i="5"/>
  <c r="BL257" i="5" s="1"/>
  <c r="BG390" i="5"/>
  <c r="BL390" i="5" s="1"/>
  <c r="BH390" i="5"/>
  <c r="BM390" i="5" s="1"/>
  <c r="BG463" i="5"/>
  <c r="BL463" i="5" s="1"/>
  <c r="BH463" i="5"/>
  <c r="BM463" i="5" s="1"/>
  <c r="BG379" i="5"/>
  <c r="BL379" i="5" s="1"/>
  <c r="BH379" i="5"/>
  <c r="BM379" i="5" s="1"/>
  <c r="BG276" i="5"/>
  <c r="BL276" i="5" s="1"/>
  <c r="BH276" i="5"/>
  <c r="BM276" i="5" s="1"/>
  <c r="BG13" i="5"/>
  <c r="BL13" i="5" s="1"/>
  <c r="BH13" i="5"/>
  <c r="BM13" i="5" s="1"/>
  <c r="BH442" i="5"/>
  <c r="BM442" i="5" s="1"/>
  <c r="BG442" i="5"/>
  <c r="BL442" i="5" s="1"/>
  <c r="BH149" i="5"/>
  <c r="BM149" i="5" s="1"/>
  <c r="BG149" i="5"/>
  <c r="BL149" i="5" s="1"/>
  <c r="BH34" i="5"/>
  <c r="BM34" i="5" s="1"/>
  <c r="BG34" i="5"/>
  <c r="BL34" i="5" s="1"/>
  <c r="BH129" i="5"/>
  <c r="BM129" i="5" s="1"/>
  <c r="BG129" i="5"/>
  <c r="BL129" i="5" s="1"/>
  <c r="BH386" i="5"/>
  <c r="BM386" i="5" s="1"/>
  <c r="BG386" i="5"/>
  <c r="BL386" i="5" s="1"/>
  <c r="BH404" i="5"/>
  <c r="BM404" i="5" s="1"/>
  <c r="BG404" i="5"/>
  <c r="BL404" i="5" s="1"/>
  <c r="BH192" i="5"/>
  <c r="BM192" i="5" s="1"/>
  <c r="BG192" i="5"/>
  <c r="BL192" i="5" s="1"/>
  <c r="BG196" i="5"/>
  <c r="BL196" i="5" s="1"/>
  <c r="BH196" i="5"/>
  <c r="BM196" i="5" s="1"/>
  <c r="BG536" i="5"/>
  <c r="BL536" i="5" s="1"/>
  <c r="BH536" i="5"/>
  <c r="BM536" i="5" s="1"/>
  <c r="BG305" i="5"/>
  <c r="BL305" i="5" s="1"/>
  <c r="BH305" i="5"/>
  <c r="BM305" i="5" s="1"/>
  <c r="BH223" i="5"/>
  <c r="BM223" i="5" s="1"/>
  <c r="BG223" i="5"/>
  <c r="BL223" i="5" s="1"/>
  <c r="BH33" i="5"/>
  <c r="BM33" i="5" s="1"/>
  <c r="BG33" i="5"/>
  <c r="BL33" i="5" s="1"/>
  <c r="BG87" i="5"/>
  <c r="BL87" i="5" s="1"/>
  <c r="BH87" i="5"/>
  <c r="BM87" i="5" s="1"/>
  <c r="BH341" i="5"/>
  <c r="BM341" i="5" s="1"/>
  <c r="BG341" i="5"/>
  <c r="BL341" i="5" s="1"/>
  <c r="BH133" i="5"/>
  <c r="BM133" i="5" s="1"/>
  <c r="BG133" i="5"/>
  <c r="BL133" i="5" s="1"/>
  <c r="BG356" i="5"/>
  <c r="BL356" i="5" s="1"/>
  <c r="BH356" i="5"/>
  <c r="BM356" i="5" s="1"/>
  <c r="BG371" i="5"/>
  <c r="BL371" i="5" s="1"/>
  <c r="BH371" i="5"/>
  <c r="BM371" i="5" s="1"/>
  <c r="BG460" i="5"/>
  <c r="BL460" i="5" s="1"/>
  <c r="BH460" i="5"/>
  <c r="BM460" i="5" s="1"/>
  <c r="BG395" i="5"/>
  <c r="BL395" i="5" s="1"/>
  <c r="BH395" i="5"/>
  <c r="BM395" i="5" s="1"/>
  <c r="BH407" i="5"/>
  <c r="BM407" i="5" s="1"/>
  <c r="BG407" i="5"/>
  <c r="BL407" i="5" s="1"/>
  <c r="BH505" i="5"/>
  <c r="BM505" i="5" s="1"/>
  <c r="BG505" i="5"/>
  <c r="BL505" i="5" s="1"/>
  <c r="BG393" i="5"/>
  <c r="BL393" i="5" s="1"/>
  <c r="BH393" i="5"/>
  <c r="BM393" i="5" s="1"/>
  <c r="BG352" i="5"/>
  <c r="BL352" i="5" s="1"/>
  <c r="BH352" i="5"/>
  <c r="BM352" i="5" s="1"/>
  <c r="BG282" i="5"/>
  <c r="BL282" i="5" s="1"/>
  <c r="BH282" i="5"/>
  <c r="BM282" i="5" s="1"/>
  <c r="BG145" i="5"/>
  <c r="BL145" i="5" s="1"/>
  <c r="BH145" i="5"/>
  <c r="BM145" i="5" s="1"/>
  <c r="BG126" i="5"/>
  <c r="BL126" i="5" s="1"/>
  <c r="BH126" i="5"/>
  <c r="BM126" i="5" s="1"/>
  <c r="BH85" i="5"/>
  <c r="BM85" i="5" s="1"/>
  <c r="BG85" i="5"/>
  <c r="BL85" i="5" s="1"/>
  <c r="BH311" i="5"/>
  <c r="BM311" i="5" s="1"/>
  <c r="BG311" i="5"/>
  <c r="BL311" i="5" s="1"/>
  <c r="BG58" i="5"/>
  <c r="BL58" i="5" s="1"/>
  <c r="BH58" i="5"/>
  <c r="BM58" i="5" s="1"/>
  <c r="BH423" i="5"/>
  <c r="BM423" i="5" s="1"/>
  <c r="BG423" i="5"/>
  <c r="BL423" i="5" s="1"/>
  <c r="BG71" i="5"/>
  <c r="BL71" i="5" s="1"/>
  <c r="BH71" i="5"/>
  <c r="BM71" i="5" s="1"/>
  <c r="BG553" i="5"/>
  <c r="BL553" i="5" s="1"/>
  <c r="BH553" i="5"/>
  <c r="BM553" i="5" s="1"/>
  <c r="BG221" i="5"/>
  <c r="BL221" i="5" s="1"/>
  <c r="BH221" i="5"/>
  <c r="BM221" i="5" s="1"/>
  <c r="BG278" i="5"/>
  <c r="BL278" i="5" s="1"/>
  <c r="BH278" i="5"/>
  <c r="BM278" i="5" s="1"/>
  <c r="BH376" i="5"/>
  <c r="BM376" i="5" s="1"/>
  <c r="BG376" i="5"/>
  <c r="BL376" i="5" s="1"/>
  <c r="BG499" i="5"/>
  <c r="BL499" i="5" s="1"/>
  <c r="BH499" i="5"/>
  <c r="BM499" i="5" s="1"/>
  <c r="BG408" i="5"/>
  <c r="BL408" i="5" s="1"/>
  <c r="BH408" i="5"/>
  <c r="BM408" i="5" s="1"/>
  <c r="BG373" i="5"/>
  <c r="BL373" i="5" s="1"/>
  <c r="BH373" i="5"/>
  <c r="BM373" i="5" s="1"/>
  <c r="BG119" i="5"/>
  <c r="BL119" i="5" s="1"/>
  <c r="BH119" i="5"/>
  <c r="BM119" i="5" s="1"/>
  <c r="BG272" i="5"/>
  <c r="BL272" i="5" s="1"/>
  <c r="BH272" i="5"/>
  <c r="BM272" i="5" s="1"/>
  <c r="BG64" i="5"/>
  <c r="BL64" i="5" s="1"/>
  <c r="BH64" i="5"/>
  <c r="BM64" i="5" s="1"/>
  <c r="BG180" i="5"/>
  <c r="BL180" i="5" s="1"/>
  <c r="BH180" i="5"/>
  <c r="BM180" i="5" s="1"/>
  <c r="BG179" i="5"/>
  <c r="BL179" i="5" s="1"/>
  <c r="BH179" i="5"/>
  <c r="BM179" i="5" s="1"/>
  <c r="BH216" i="5"/>
  <c r="BM216" i="5" s="1"/>
  <c r="BG216" i="5"/>
  <c r="BL216" i="5" s="1"/>
  <c r="BG23" i="5"/>
  <c r="BL23" i="5" s="1"/>
  <c r="BH23" i="5"/>
  <c r="BM23" i="5" s="1"/>
  <c r="BG267" i="5"/>
  <c r="BL267" i="5" s="1"/>
  <c r="BH267" i="5"/>
  <c r="BM267" i="5" s="1"/>
  <c r="BH449" i="5"/>
  <c r="BM449" i="5" s="1"/>
  <c r="BG449" i="5"/>
  <c r="BL449" i="5" s="1"/>
  <c r="BG457" i="5"/>
  <c r="BL457" i="5" s="1"/>
  <c r="BH457" i="5"/>
  <c r="BM457" i="5" s="1"/>
  <c r="BH162" i="5"/>
  <c r="BM162" i="5" s="1"/>
  <c r="BG162" i="5"/>
  <c r="BL162" i="5" s="1"/>
  <c r="BG473" i="5"/>
  <c r="BL473" i="5" s="1"/>
  <c r="BH473" i="5"/>
  <c r="BM473" i="5" s="1"/>
  <c r="BG421" i="5"/>
  <c r="BL421" i="5" s="1"/>
  <c r="BH421" i="5"/>
  <c r="BM421" i="5" s="1"/>
  <c r="BH415" i="5"/>
  <c r="BM415" i="5" s="1"/>
  <c r="BG415" i="5"/>
  <c r="BL415" i="5" s="1"/>
  <c r="BG280" i="5"/>
  <c r="BL280" i="5" s="1"/>
  <c r="BH280" i="5"/>
  <c r="BM280" i="5" s="1"/>
  <c r="BG490" i="5"/>
  <c r="BL490" i="5" s="1"/>
  <c r="BH490" i="5"/>
  <c r="BM490" i="5" s="1"/>
  <c r="BG480" i="5"/>
  <c r="BL480" i="5" s="1"/>
  <c r="BH480" i="5"/>
  <c r="BM480" i="5" s="1"/>
  <c r="BH156" i="5"/>
  <c r="BM156" i="5" s="1"/>
  <c r="BG156" i="5"/>
  <c r="BL156" i="5" s="1"/>
  <c r="BH289" i="5"/>
  <c r="BM289" i="5" s="1"/>
  <c r="BG289" i="5"/>
  <c r="BL289" i="5" s="1"/>
  <c r="BG551" i="5"/>
  <c r="BL551" i="5" s="1"/>
  <c r="BH551" i="5"/>
  <c r="BM551" i="5" s="1"/>
  <c r="BG309" i="5"/>
  <c r="BL309" i="5" s="1"/>
  <c r="BH309" i="5"/>
  <c r="BM309" i="5" s="1"/>
  <c r="BG10" i="5"/>
  <c r="BL10" i="5" s="1"/>
  <c r="BH10" i="5"/>
  <c r="BM10" i="5" s="1"/>
  <c r="BG259" i="5"/>
  <c r="BL259" i="5" s="1"/>
  <c r="BH259" i="5"/>
  <c r="BM259" i="5" s="1"/>
  <c r="BG396" i="5"/>
  <c r="BL396" i="5" s="1"/>
  <c r="BH396" i="5"/>
  <c r="BM396" i="5" s="1"/>
  <c r="BH296" i="5"/>
  <c r="BM296" i="5" s="1"/>
  <c r="BG296" i="5"/>
  <c r="BL296" i="5" s="1"/>
  <c r="BH55" i="5"/>
  <c r="BM55" i="5" s="1"/>
  <c r="BG55" i="5"/>
  <c r="BL55" i="5" s="1"/>
  <c r="BG194" i="5"/>
  <c r="BL194" i="5" s="1"/>
  <c r="BH194" i="5"/>
  <c r="BM194" i="5" s="1"/>
  <c r="BH543" i="5"/>
  <c r="BM543" i="5" s="1"/>
  <c r="BG543" i="5"/>
  <c r="BL543" i="5" s="1"/>
  <c r="BH332" i="5"/>
  <c r="BM332" i="5" s="1"/>
  <c r="BG332" i="5"/>
  <c r="BL332" i="5" s="1"/>
  <c r="BH406" i="5"/>
  <c r="BM406" i="5" s="1"/>
  <c r="BG406" i="5"/>
  <c r="BL406" i="5" s="1"/>
  <c r="BH286" i="5"/>
  <c r="BM286" i="5" s="1"/>
  <c r="BG286" i="5"/>
  <c r="BL286" i="5" s="1"/>
  <c r="BH448" i="5"/>
  <c r="BM448" i="5" s="1"/>
  <c r="BG448" i="5"/>
  <c r="BL448" i="5" s="1"/>
  <c r="BG344" i="5"/>
  <c r="BL344" i="5" s="1"/>
  <c r="BH344" i="5"/>
  <c r="BM344" i="5" s="1"/>
  <c r="BH439" i="5"/>
  <c r="BM439" i="5" s="1"/>
  <c r="BG439" i="5"/>
  <c r="BL439" i="5" s="1"/>
  <c r="BH158" i="5"/>
  <c r="BM158" i="5" s="1"/>
  <c r="BG158" i="5"/>
  <c r="BL158" i="5" s="1"/>
  <c r="BG184" i="5"/>
  <c r="BL184" i="5" s="1"/>
  <c r="BH184" i="5"/>
  <c r="BM184" i="5" s="1"/>
  <c r="BG298" i="5"/>
  <c r="BL298" i="5" s="1"/>
  <c r="BH298" i="5"/>
  <c r="BM298" i="5" s="1"/>
  <c r="BG56" i="5"/>
  <c r="BL56" i="5" s="1"/>
  <c r="BH56" i="5"/>
  <c r="BM56" i="5" s="1"/>
  <c r="BH514" i="5"/>
  <c r="BM514" i="5" s="1"/>
  <c r="BG514" i="5"/>
  <c r="BL514" i="5" s="1"/>
  <c r="BH299" i="5"/>
  <c r="BM299" i="5" s="1"/>
  <c r="BG299" i="5"/>
  <c r="BL299" i="5" s="1"/>
  <c r="BH167" i="5"/>
  <c r="BM167" i="5" s="1"/>
  <c r="BG167" i="5"/>
  <c r="BL167" i="5" s="1"/>
  <c r="BG235" i="5"/>
  <c r="BL235" i="5" s="1"/>
  <c r="BH235" i="5"/>
  <c r="BM235" i="5" s="1"/>
  <c r="BG317" i="5"/>
  <c r="BL317" i="5" s="1"/>
  <c r="BH317" i="5"/>
  <c r="BM317" i="5" s="1"/>
  <c r="BG342" i="5"/>
  <c r="BL342" i="5" s="1"/>
  <c r="BH342" i="5"/>
  <c r="BM342" i="5" s="1"/>
  <c r="BG252" i="5"/>
  <c r="BL252" i="5" s="1"/>
  <c r="BH252" i="5"/>
  <c r="BM252" i="5" s="1"/>
  <c r="BH526" i="5"/>
  <c r="BM526" i="5" s="1"/>
  <c r="BG526" i="5"/>
  <c r="BL526" i="5" s="1"/>
  <c r="BH112" i="5"/>
  <c r="BM112" i="5" s="1"/>
  <c r="BG112" i="5"/>
  <c r="BL112" i="5" s="1"/>
  <c r="BG185" i="5"/>
  <c r="BL185" i="5" s="1"/>
  <c r="BH185" i="5"/>
  <c r="BM185" i="5" s="1"/>
  <c r="BG245" i="5"/>
  <c r="BL245" i="5" s="1"/>
  <c r="BH245" i="5"/>
  <c r="BM245" i="5" s="1"/>
  <c r="BG8" i="5"/>
  <c r="BL8" i="5" s="1"/>
  <c r="BH8" i="5"/>
  <c r="BM8" i="5" s="1"/>
  <c r="BG94" i="5"/>
  <c r="BL94" i="5" s="1"/>
  <c r="BH94" i="5"/>
  <c r="BM94" i="5" s="1"/>
  <c r="BG351" i="5"/>
  <c r="BL351" i="5" s="1"/>
  <c r="BH351" i="5"/>
  <c r="BM351" i="5" s="1"/>
  <c r="BG452" i="5"/>
  <c r="BL452" i="5" s="1"/>
  <c r="BH452" i="5"/>
  <c r="BM452" i="5" s="1"/>
  <c r="BH432" i="5"/>
  <c r="BM432" i="5" s="1"/>
  <c r="BG432" i="5"/>
  <c r="BL432" i="5" s="1"/>
  <c r="BG287" i="5"/>
  <c r="BL287" i="5" s="1"/>
  <c r="BH287" i="5"/>
  <c r="BM287" i="5" s="1"/>
  <c r="BH21" i="5"/>
  <c r="BM21" i="5" s="1"/>
  <c r="BG21" i="5"/>
  <c r="BL21" i="5" s="1"/>
  <c r="BG541" i="5"/>
  <c r="BL541" i="5" s="1"/>
  <c r="BH541" i="5"/>
  <c r="BM541" i="5" s="1"/>
  <c r="BH345" i="5"/>
  <c r="BM345" i="5" s="1"/>
  <c r="BG345" i="5"/>
  <c r="BL345" i="5" s="1"/>
  <c r="BH157" i="5"/>
  <c r="BM157" i="5" s="1"/>
  <c r="BG157" i="5"/>
  <c r="BL157" i="5" s="1"/>
  <c r="BH205" i="5"/>
  <c r="BM205" i="5" s="1"/>
  <c r="BG205" i="5"/>
  <c r="BL205" i="5" s="1"/>
  <c r="BH510" i="5"/>
  <c r="BM510" i="5" s="1"/>
  <c r="BG510" i="5"/>
  <c r="BL510" i="5" s="1"/>
  <c r="BG358" i="5"/>
  <c r="BL358" i="5" s="1"/>
  <c r="BH358" i="5"/>
  <c r="BM358" i="5" s="1"/>
  <c r="BH142" i="5"/>
  <c r="BM142" i="5" s="1"/>
  <c r="BG142" i="5"/>
  <c r="BL142" i="5" s="1"/>
  <c r="BG140" i="5"/>
  <c r="BL140" i="5" s="1"/>
  <c r="BH140" i="5"/>
  <c r="BM140" i="5" s="1"/>
  <c r="BH409" i="5"/>
  <c r="BM409" i="5" s="1"/>
  <c r="BG409" i="5"/>
  <c r="BL409" i="5" s="1"/>
  <c r="BH27" i="5"/>
  <c r="BM27" i="5" s="1"/>
  <c r="BG27" i="5"/>
  <c r="BL27" i="5" s="1"/>
  <c r="BH520" i="5"/>
  <c r="BM520" i="5" s="1"/>
  <c r="BG520" i="5"/>
  <c r="BL520" i="5" s="1"/>
  <c r="BH136" i="5"/>
  <c r="BM136" i="5" s="1"/>
  <c r="BG136" i="5"/>
  <c r="BL136" i="5" s="1"/>
  <c r="BG532" i="5"/>
  <c r="BL532" i="5" s="1"/>
  <c r="BH532" i="5"/>
  <c r="BM532" i="5" s="1"/>
  <c r="BH412" i="5"/>
  <c r="BM412" i="5" s="1"/>
  <c r="BG412" i="5"/>
  <c r="BL412" i="5" s="1"/>
  <c r="BG417" i="5"/>
  <c r="BL417" i="5" s="1"/>
  <c r="BH417" i="5"/>
  <c r="BM417" i="5" s="1"/>
  <c r="BH349" i="5"/>
  <c r="BM349" i="5" s="1"/>
  <c r="BG349" i="5"/>
  <c r="BL349" i="5" s="1"/>
  <c r="BG195" i="5"/>
  <c r="BL195" i="5" s="1"/>
  <c r="BH195" i="5"/>
  <c r="BM195" i="5" s="1"/>
  <c r="BG164" i="5"/>
  <c r="BL164" i="5" s="1"/>
  <c r="BH164" i="5"/>
  <c r="BM164" i="5" s="1"/>
  <c r="BG110" i="5"/>
  <c r="BL110" i="5" s="1"/>
  <c r="BH110" i="5"/>
  <c r="BM110" i="5" s="1"/>
  <c r="BH137" i="5"/>
  <c r="BM137" i="5" s="1"/>
  <c r="BG137" i="5"/>
  <c r="BL137" i="5" s="1"/>
  <c r="BG469" i="5"/>
  <c r="BL469" i="5" s="1"/>
  <c r="BH469" i="5"/>
  <c r="BM469" i="5" s="1"/>
  <c r="BH275" i="5"/>
  <c r="BM275" i="5" s="1"/>
  <c r="BG275" i="5"/>
  <c r="BL275" i="5" s="1"/>
  <c r="BG545" i="5"/>
  <c r="BL545" i="5" s="1"/>
  <c r="BH545" i="5"/>
  <c r="BM545" i="5" s="1"/>
  <c r="BH486" i="5"/>
  <c r="BM486" i="5" s="1"/>
  <c r="BG486" i="5"/>
  <c r="BL486" i="5" s="1"/>
  <c r="BH203" i="5"/>
  <c r="BM203" i="5" s="1"/>
  <c r="BG203" i="5"/>
  <c r="BL203" i="5" s="1"/>
  <c r="BG191" i="5"/>
  <c r="BL191" i="5" s="1"/>
  <c r="BH191" i="5"/>
  <c r="BM191" i="5" s="1"/>
  <c r="BH93" i="5"/>
  <c r="BM93" i="5" s="1"/>
  <c r="BG93" i="5"/>
  <c r="BL93" i="5" s="1"/>
  <c r="BG236" i="5"/>
  <c r="BL236" i="5" s="1"/>
  <c r="BH236" i="5"/>
  <c r="BM236" i="5" s="1"/>
  <c r="BH212" i="5"/>
  <c r="BM212" i="5" s="1"/>
  <c r="BG212" i="5"/>
  <c r="BL212" i="5" s="1"/>
  <c r="BG227" i="5"/>
  <c r="BL227" i="5" s="1"/>
  <c r="BH227" i="5"/>
  <c r="BM227" i="5" s="1"/>
  <c r="BH114" i="5"/>
  <c r="BM114" i="5" s="1"/>
  <c r="BG114" i="5"/>
  <c r="BL114" i="5" s="1"/>
  <c r="BG511" i="5"/>
  <c r="BL511" i="5" s="1"/>
  <c r="BH511" i="5"/>
  <c r="BM511" i="5" s="1"/>
  <c r="BH204" i="5"/>
  <c r="BM204" i="5" s="1"/>
  <c r="BG204" i="5"/>
  <c r="BL204" i="5" s="1"/>
  <c r="BG555" i="5"/>
  <c r="BL555" i="5" s="1"/>
  <c r="BH555" i="5"/>
  <c r="BM555" i="5" s="1"/>
  <c r="BH61" i="5"/>
  <c r="BM61" i="5" s="1"/>
  <c r="BG61" i="5"/>
  <c r="BL61" i="5" s="1"/>
  <c r="BH465" i="5"/>
  <c r="BM465" i="5" s="1"/>
  <c r="BG465" i="5"/>
  <c r="BL465" i="5" s="1"/>
  <c r="BH90" i="5"/>
  <c r="BM90" i="5" s="1"/>
  <c r="BG90" i="5"/>
  <c r="BL90" i="5" s="1"/>
  <c r="BG9" i="5"/>
  <c r="BL9" i="5" s="1"/>
  <c r="BH9" i="5"/>
  <c r="BM9" i="5" s="1"/>
  <c r="BG375" i="5"/>
  <c r="BL375" i="5" s="1"/>
  <c r="BH375" i="5"/>
  <c r="BM375" i="5" s="1"/>
  <c r="BG338" i="5"/>
  <c r="BL338" i="5" s="1"/>
  <c r="BH338" i="5"/>
  <c r="BM338" i="5" s="1"/>
  <c r="BG80" i="5"/>
  <c r="BL80" i="5" s="1"/>
  <c r="BH80" i="5"/>
  <c r="BM80" i="5" s="1"/>
  <c r="BH380" i="5"/>
  <c r="BM380" i="5" s="1"/>
  <c r="BG380" i="5"/>
  <c r="BL380" i="5" s="1"/>
  <c r="BG113" i="5"/>
  <c r="BL113" i="5" s="1"/>
  <c r="BH113" i="5"/>
  <c r="BM113" i="5" s="1"/>
  <c r="BH62" i="5"/>
  <c r="BM62" i="5" s="1"/>
  <c r="BG62" i="5"/>
  <c r="BL62" i="5" s="1"/>
  <c r="BG405" i="5"/>
  <c r="BL405" i="5" s="1"/>
  <c r="BH405" i="5"/>
  <c r="BM405" i="5" s="1"/>
  <c r="BH46" i="5"/>
  <c r="BM46" i="5" s="1"/>
  <c r="BG46" i="5"/>
  <c r="BL46" i="5" s="1"/>
  <c r="BG304" i="5"/>
  <c r="BL304" i="5" s="1"/>
  <c r="BH304" i="5"/>
  <c r="BM304" i="5" s="1"/>
  <c r="BG355" i="5"/>
  <c r="BL355" i="5" s="1"/>
  <c r="BH355" i="5"/>
  <c r="BM355" i="5" s="1"/>
  <c r="BG215" i="5"/>
  <c r="BL215" i="5" s="1"/>
  <c r="BH215" i="5"/>
  <c r="BM215" i="5" s="1"/>
  <c r="BH347" i="5"/>
  <c r="BM347" i="5" s="1"/>
  <c r="BG347" i="5"/>
  <c r="BL347" i="5" s="1"/>
  <c r="BG154" i="5"/>
  <c r="BL154" i="5" s="1"/>
  <c r="BH154" i="5"/>
  <c r="BM154" i="5" s="1"/>
  <c r="BG389" i="5"/>
  <c r="BL389" i="5" s="1"/>
  <c r="BH389" i="5"/>
  <c r="BM389" i="5" s="1"/>
  <c r="BH335" i="5"/>
  <c r="BM335" i="5" s="1"/>
  <c r="BG335" i="5"/>
  <c r="BL335" i="5" s="1"/>
  <c r="BH399" i="5"/>
  <c r="BM399" i="5" s="1"/>
  <c r="BG399" i="5"/>
  <c r="BL399" i="5" s="1"/>
  <c r="BH74" i="5"/>
  <c r="BM74" i="5" s="1"/>
  <c r="BG74" i="5"/>
  <c r="BL74" i="5" s="1"/>
  <c r="BG153" i="5"/>
  <c r="BL153" i="5" s="1"/>
  <c r="BH153" i="5"/>
  <c r="BM153" i="5" s="1"/>
  <c r="BH193" i="5"/>
  <c r="BM193" i="5" s="1"/>
  <c r="BG193" i="5"/>
  <c r="BL193" i="5" s="1"/>
  <c r="BG57" i="5"/>
  <c r="BL57" i="5" s="1"/>
  <c r="BH57" i="5"/>
  <c r="BM57" i="5" s="1"/>
  <c r="BG264" i="5"/>
  <c r="BL264" i="5" s="1"/>
  <c r="BH264" i="5"/>
  <c r="BM264" i="5" s="1"/>
  <c r="BG314" i="5"/>
  <c r="BL314" i="5" s="1"/>
  <c r="BH314" i="5"/>
  <c r="BM314" i="5" s="1"/>
  <c r="BH453" i="5"/>
  <c r="BM453" i="5" s="1"/>
  <c r="BG453" i="5"/>
  <c r="BL453" i="5" s="1"/>
  <c r="BG424" i="5"/>
  <c r="BL424" i="5" s="1"/>
  <c r="BH424" i="5"/>
  <c r="BM424" i="5" s="1"/>
  <c r="BH187" i="5"/>
  <c r="BM187" i="5" s="1"/>
  <c r="BG187" i="5"/>
  <c r="BL187" i="5" s="1"/>
  <c r="BH501" i="5"/>
  <c r="BM501" i="5" s="1"/>
  <c r="BG501" i="5"/>
  <c r="BL501" i="5" s="1"/>
  <c r="BH247" i="5"/>
  <c r="BM247" i="5" s="1"/>
  <c r="BG247" i="5"/>
  <c r="BL247" i="5" s="1"/>
  <c r="BG201" i="5"/>
  <c r="BL201" i="5" s="1"/>
  <c r="BH201" i="5"/>
  <c r="BM201" i="5" s="1"/>
  <c r="BH178" i="5"/>
  <c r="BM178" i="5" s="1"/>
  <c r="BG178" i="5"/>
  <c r="BL178" i="5" s="1"/>
  <c r="BH79" i="5"/>
  <c r="BM79" i="5" s="1"/>
  <c r="BG79" i="5"/>
  <c r="BL79" i="5" s="1"/>
  <c r="BG36" i="5"/>
  <c r="BL36" i="5" s="1"/>
  <c r="BH36" i="5"/>
  <c r="BM36" i="5" s="1"/>
  <c r="BH362" i="5"/>
  <c r="BM362" i="5" s="1"/>
  <c r="BG362" i="5"/>
  <c r="BL362" i="5" s="1"/>
  <c r="BG445" i="5"/>
  <c r="BL445" i="5" s="1"/>
  <c r="BH445" i="5"/>
  <c r="BM445" i="5" s="1"/>
  <c r="BG326" i="5"/>
  <c r="BL326" i="5" s="1"/>
  <c r="BH326" i="5"/>
  <c r="BM326" i="5" s="1"/>
  <c r="BG455" i="5"/>
  <c r="BL455" i="5" s="1"/>
  <c r="BH455" i="5"/>
  <c r="BM455" i="5" s="1"/>
  <c r="BH111" i="5"/>
  <c r="BM111" i="5" s="1"/>
  <c r="BG111" i="5"/>
  <c r="BL111" i="5" s="1"/>
  <c r="BH273" i="5"/>
  <c r="BM273" i="5" s="1"/>
  <c r="BG273" i="5"/>
  <c r="BL273" i="5" s="1"/>
  <c r="BG165" i="5"/>
  <c r="BL165" i="5" s="1"/>
  <c r="BH165" i="5"/>
  <c r="BM165" i="5" s="1"/>
  <c r="BH148" i="5"/>
  <c r="BM148" i="5" s="1"/>
  <c r="BG148" i="5"/>
  <c r="BL148" i="5" s="1"/>
  <c r="BG175" i="5"/>
  <c r="BL175" i="5" s="1"/>
  <c r="BH175" i="5"/>
  <c r="BM175" i="5" s="1"/>
  <c r="BH416" i="5"/>
  <c r="BM416" i="5" s="1"/>
  <c r="BG416" i="5"/>
  <c r="BL416" i="5" s="1"/>
  <c r="BH319" i="5"/>
  <c r="BM319" i="5" s="1"/>
  <c r="BG319" i="5"/>
  <c r="BL319" i="5" s="1"/>
  <c r="BH462" i="5"/>
  <c r="BM462" i="5" s="1"/>
  <c r="BG462" i="5"/>
  <c r="BL462" i="5" s="1"/>
  <c r="BG468" i="5"/>
  <c r="BL468" i="5" s="1"/>
  <c r="BH468" i="5"/>
  <c r="BM468" i="5" s="1"/>
  <c r="BH315" i="5"/>
  <c r="BM315" i="5" s="1"/>
  <c r="BG315" i="5"/>
  <c r="BL315" i="5" s="1"/>
  <c r="BG367" i="5"/>
  <c r="BL367" i="5" s="1"/>
  <c r="BH367" i="5"/>
  <c r="BM367" i="5" s="1"/>
  <c r="BH138" i="5"/>
  <c r="BM138" i="5" s="1"/>
  <c r="BG138" i="5"/>
  <c r="BL138" i="5" s="1"/>
  <c r="BG266" i="5"/>
  <c r="BL266" i="5" s="1"/>
  <c r="BH266" i="5"/>
  <c r="BM266" i="5" s="1"/>
  <c r="BG535" i="5"/>
  <c r="BL535" i="5" s="1"/>
  <c r="BH535" i="5"/>
  <c r="BM535" i="5" s="1"/>
  <c r="BH277" i="5"/>
  <c r="BM277" i="5" s="1"/>
  <c r="BG277" i="5"/>
  <c r="BL277" i="5" s="1"/>
  <c r="BG542" i="5"/>
  <c r="BL542" i="5" s="1"/>
  <c r="BH542" i="5"/>
  <c r="BM542" i="5" s="1"/>
  <c r="BH28" i="5"/>
  <c r="BM28" i="5" s="1"/>
  <c r="BG28" i="5"/>
  <c r="BL28" i="5" s="1"/>
  <c r="BG454" i="5"/>
  <c r="BL454" i="5" s="1"/>
  <c r="BH454" i="5"/>
  <c r="BM454" i="5" s="1"/>
  <c r="BG336" i="5"/>
  <c r="BL336" i="5" s="1"/>
  <c r="BH336" i="5"/>
  <c r="BM336" i="5" s="1"/>
  <c r="BG152" i="5"/>
  <c r="BL152" i="5" s="1"/>
  <c r="BH152" i="5"/>
  <c r="BM152" i="5" s="1"/>
  <c r="BH143" i="5"/>
  <c r="BM143" i="5" s="1"/>
  <c r="BG143" i="5"/>
  <c r="BL143" i="5" s="1"/>
  <c r="BG497" i="5"/>
  <c r="BL497" i="5" s="1"/>
  <c r="BH497" i="5"/>
  <c r="BM497" i="5" s="1"/>
  <c r="BG130" i="5"/>
  <c r="BL130" i="5" s="1"/>
  <c r="BH130" i="5"/>
  <c r="BM130" i="5" s="1"/>
  <c r="BG100" i="5"/>
  <c r="BL100" i="5" s="1"/>
  <c r="BH100" i="5"/>
  <c r="BM100" i="5" s="1"/>
  <c r="BG68" i="5"/>
  <c r="BL68" i="5" s="1"/>
  <c r="BH68" i="5"/>
  <c r="BM68" i="5" s="1"/>
  <c r="BG271" i="5"/>
  <c r="BL271" i="5" s="1"/>
  <c r="BH271" i="5"/>
  <c r="BM271" i="5" s="1"/>
  <c r="BG487" i="5"/>
  <c r="BL487" i="5" s="1"/>
  <c r="BH487" i="5"/>
  <c r="BM487" i="5" s="1"/>
  <c r="BG381" i="5"/>
  <c r="BL381" i="5" s="1"/>
  <c r="BH381" i="5"/>
  <c r="BM381" i="5" s="1"/>
  <c r="BG29" i="5"/>
  <c r="BL29" i="5" s="1"/>
  <c r="BH29" i="5"/>
  <c r="BM29" i="5" s="1"/>
  <c r="BH32" i="5"/>
  <c r="BM32" i="5" s="1"/>
  <c r="BG32" i="5"/>
  <c r="BL32" i="5" s="1"/>
  <c r="BH293" i="5"/>
  <c r="BM293" i="5" s="1"/>
  <c r="BG293" i="5"/>
  <c r="BL293" i="5" s="1"/>
  <c r="BG73" i="5"/>
  <c r="BL73" i="5" s="1"/>
  <c r="BH73" i="5"/>
  <c r="BM73" i="5" s="1"/>
  <c r="BG515" i="5"/>
  <c r="BL515" i="5" s="1"/>
  <c r="BH515" i="5"/>
  <c r="BM515" i="5" s="1"/>
  <c r="BG485" i="5"/>
  <c r="BL485" i="5" s="1"/>
  <c r="BH485" i="5"/>
  <c r="BM485" i="5" s="1"/>
  <c r="BH81" i="5"/>
  <c r="BM81" i="5" s="1"/>
  <c r="BG81" i="5"/>
  <c r="BL81" i="5" s="1"/>
  <c r="BH330" i="5"/>
  <c r="BM330" i="5" s="1"/>
  <c r="BG330" i="5"/>
  <c r="BL330" i="5" s="1"/>
  <c r="BH147" i="5"/>
  <c r="BM147" i="5" s="1"/>
  <c r="BG147" i="5"/>
  <c r="BL147" i="5" s="1"/>
  <c r="BG400" i="5"/>
  <c r="BL400" i="5" s="1"/>
  <c r="BH400" i="5"/>
  <c r="BM400" i="5" s="1"/>
  <c r="BG502" i="5"/>
  <c r="BL502" i="5" s="1"/>
  <c r="BH502" i="5"/>
  <c r="BM502" i="5" s="1"/>
  <c r="BH107" i="5"/>
  <c r="BM107" i="5" s="1"/>
  <c r="BG107" i="5"/>
  <c r="BL107" i="5" s="1"/>
  <c r="BH360" i="5"/>
  <c r="BM360" i="5" s="1"/>
  <c r="BG360" i="5"/>
  <c r="BL360" i="5" s="1"/>
  <c r="BH521" i="5"/>
  <c r="BM521" i="5" s="1"/>
  <c r="BG521" i="5"/>
  <c r="BL521" i="5" s="1"/>
  <c r="BH115" i="5"/>
  <c r="BM115" i="5" s="1"/>
  <c r="BG115" i="5"/>
  <c r="BL115" i="5" s="1"/>
  <c r="BG77" i="5"/>
  <c r="BL77" i="5" s="1"/>
  <c r="BH77" i="5"/>
  <c r="BM77" i="5" s="1"/>
  <c r="BG364" i="5"/>
  <c r="BL364" i="5" s="1"/>
  <c r="BH364" i="5"/>
  <c r="BM364" i="5" s="1"/>
  <c r="BG60" i="5"/>
  <c r="BL60" i="5" s="1"/>
  <c r="BH60" i="5"/>
  <c r="BM60" i="5" s="1"/>
  <c r="BG200" i="5"/>
  <c r="BL200" i="5" s="1"/>
  <c r="BH200" i="5"/>
  <c r="BM200" i="5" s="1"/>
  <c r="BG163" i="5"/>
  <c r="BL163" i="5" s="1"/>
  <c r="BH163" i="5"/>
  <c r="BM163" i="5" s="1"/>
  <c r="BG491" i="5"/>
  <c r="BL491" i="5" s="1"/>
  <c r="BH491" i="5"/>
  <c r="BM491" i="5" s="1"/>
  <c r="BH426" i="5"/>
  <c r="BM426" i="5" s="1"/>
  <c r="BG426" i="5"/>
  <c r="BL426" i="5" s="1"/>
  <c r="BH290" i="5"/>
  <c r="BM290" i="5" s="1"/>
  <c r="BG290" i="5"/>
  <c r="BL290" i="5" s="1"/>
  <c r="BG243" i="5"/>
  <c r="BL243" i="5" s="1"/>
  <c r="BH243" i="5"/>
  <c r="BM243" i="5" s="1"/>
  <c r="BH88" i="5"/>
  <c r="BM88" i="5" s="1"/>
  <c r="BG88" i="5"/>
  <c r="BL88" i="5" s="1"/>
  <c r="BH431" i="5"/>
  <c r="BM431" i="5" s="1"/>
  <c r="BG431" i="5"/>
  <c r="BL431" i="5" s="1"/>
  <c r="BG44" i="5"/>
  <c r="BL44" i="5" s="1"/>
  <c r="BH44" i="5"/>
  <c r="BM44" i="5" s="1"/>
  <c r="BH117" i="5"/>
  <c r="BM117" i="5" s="1"/>
  <c r="BG117" i="5"/>
  <c r="BL117" i="5" s="1"/>
  <c r="BG428" i="5"/>
  <c r="BL428" i="5" s="1"/>
  <c r="BH428" i="5"/>
  <c r="BM428" i="5" s="1"/>
  <c r="BG547" i="5"/>
  <c r="BL547" i="5" s="1"/>
  <c r="BH547" i="5"/>
  <c r="BM547" i="5" s="1"/>
  <c r="BH53" i="5"/>
  <c r="BM53" i="5" s="1"/>
  <c r="BG53" i="5"/>
  <c r="BL53" i="5" s="1"/>
  <c r="BG512" i="5"/>
  <c r="BL512" i="5" s="1"/>
  <c r="BH512" i="5"/>
  <c r="BM512" i="5" s="1"/>
  <c r="BF11" i="5"/>
  <c r="BG150" i="5"/>
  <c r="BL150" i="5" s="1"/>
  <c r="BH150" i="5"/>
  <c r="BM150" i="5" s="1"/>
  <c r="BG549" i="5"/>
  <c r="BL549" i="5" s="1"/>
  <c r="BH549" i="5"/>
  <c r="BM549" i="5" s="1"/>
  <c r="BH372" i="5"/>
  <c r="BM372" i="5" s="1"/>
  <c r="BG372" i="5"/>
  <c r="BL372" i="5" s="1"/>
  <c r="BH503" i="5"/>
  <c r="BM503" i="5" s="1"/>
  <c r="BG503" i="5"/>
  <c r="BL503" i="5" s="1"/>
  <c r="BG106" i="5"/>
  <c r="BL106" i="5" s="1"/>
  <c r="BH106" i="5"/>
  <c r="BM106" i="5" s="1"/>
  <c r="BG308" i="5"/>
  <c r="BL308" i="5" s="1"/>
  <c r="BH308" i="5"/>
  <c r="BM308" i="5" s="1"/>
  <c r="BG208" i="5"/>
  <c r="BL208" i="5" s="1"/>
  <c r="BH208" i="5"/>
  <c r="BM208" i="5" s="1"/>
  <c r="BG139" i="5"/>
  <c r="BL139" i="5" s="1"/>
  <c r="BH139" i="5"/>
  <c r="BM139" i="5" s="1"/>
  <c r="BG519" i="5"/>
  <c r="BL519" i="5" s="1"/>
  <c r="BH519" i="5"/>
  <c r="BM519" i="5" s="1"/>
  <c r="BG122" i="5"/>
  <c r="BL122" i="5" s="1"/>
  <c r="BH122" i="5"/>
  <c r="BM122" i="5" s="1"/>
  <c r="BG134" i="5"/>
  <c r="BL134" i="5" s="1"/>
  <c r="BH134" i="5"/>
  <c r="BM134" i="5" s="1"/>
  <c r="BH513" i="5"/>
  <c r="BM513" i="5" s="1"/>
  <c r="BG513" i="5"/>
  <c r="BL513" i="5" s="1"/>
  <c r="BG265" i="5"/>
  <c r="BL265" i="5" s="1"/>
  <c r="BH265" i="5"/>
  <c r="BM265" i="5" s="1"/>
  <c r="BH45" i="5"/>
  <c r="BM45" i="5" s="1"/>
  <c r="BG45" i="5"/>
  <c r="BL45" i="5" s="1"/>
  <c r="BG141" i="5"/>
  <c r="BL141" i="5" s="1"/>
  <c r="BH141" i="5"/>
  <c r="BM141" i="5" s="1"/>
  <c r="BH260" i="5"/>
  <c r="BM260" i="5" s="1"/>
  <c r="BG260" i="5"/>
  <c r="BL260" i="5" s="1"/>
  <c r="BH459" i="5"/>
  <c r="BM459" i="5" s="1"/>
  <c r="BG459" i="5"/>
  <c r="BL459" i="5" s="1"/>
  <c r="BG50" i="5"/>
  <c r="BL50" i="5" s="1"/>
  <c r="BH50" i="5"/>
  <c r="BM50" i="5" s="1"/>
  <c r="BG261" i="5"/>
  <c r="BL261" i="5" s="1"/>
  <c r="BH261" i="5"/>
  <c r="BM261" i="5" s="1"/>
  <c r="BH206" i="5"/>
  <c r="BM206" i="5" s="1"/>
  <c r="BG206" i="5"/>
  <c r="BL206" i="5" s="1"/>
  <c r="BH368" i="5"/>
  <c r="BM368" i="5" s="1"/>
  <c r="BG368" i="5"/>
  <c r="BL368" i="5" s="1"/>
  <c r="BH478" i="5"/>
  <c r="BM478" i="5" s="1"/>
  <c r="BG478" i="5"/>
  <c r="BL478" i="5" s="1"/>
  <c r="BH385" i="5"/>
  <c r="BM385" i="5" s="1"/>
  <c r="BG385" i="5"/>
  <c r="BL385" i="5" s="1"/>
  <c r="BG391" i="5"/>
  <c r="BL391" i="5" s="1"/>
  <c r="BH391" i="5"/>
  <c r="BM391" i="5" s="1"/>
  <c r="BG384" i="5"/>
  <c r="BL384" i="5" s="1"/>
  <c r="BH384" i="5"/>
  <c r="BM384" i="5" s="1"/>
  <c r="BG69" i="5"/>
  <c r="BL69" i="5" s="1"/>
  <c r="BH69" i="5"/>
  <c r="BM69" i="5" s="1"/>
  <c r="AU31" i="4" l="1"/>
  <c r="AW31" i="4" s="1"/>
  <c r="BK11" i="5"/>
  <c r="BJ11" i="5"/>
  <c r="BG11" i="5"/>
  <c r="BL11" i="5" s="1"/>
  <c r="BH11" i="5"/>
  <c r="BM1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LM5127 Design Tool</t>
        </r>
        <r>
          <rPr>
            <sz val="9"/>
            <color indexed="81"/>
            <rFont val="Tahoma"/>
            <family val="2"/>
          </rPr>
          <t xml:space="preserve">
This stand-alone tool facilitates and assists the power supply engineer with design of a DC-DC boost converter based on the LM5127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H12" authorId="0" shapeId="0" xr:uid="{00000000-0006-0000-0000-000003000000}">
      <text>
        <r>
          <rPr>
            <b/>
            <sz val="9"/>
            <color indexed="81"/>
            <rFont val="Tahoma"/>
            <family val="2"/>
          </rPr>
          <t xml:space="preserve">Light Load Switching Mode Selection:
</t>
        </r>
        <r>
          <rPr>
            <sz val="9"/>
            <color indexed="81"/>
            <rFont val="Tahoma"/>
            <family val="2"/>
          </rPr>
          <t>FPWM --&gt; MODE pin connected to VCC.
SKIP --&gt; MODE pin floating.
DEM --&gt; MODE pin connect to GND.
See the datasheet for more details on each mode.</t>
        </r>
      </text>
    </comment>
    <comment ref="H20" authorId="0" shapeId="0" xr:uid="{00000000-0006-0000-0000-000004000000}">
      <text>
        <r>
          <rPr>
            <b/>
            <sz val="9"/>
            <color indexed="81"/>
            <rFont val="Tahoma"/>
            <family val="2"/>
          </rPr>
          <t xml:space="preserve">If this cell shows:
CCM: </t>
        </r>
        <r>
          <rPr>
            <sz val="9"/>
            <color indexed="81"/>
            <rFont val="Tahoma"/>
            <family val="2"/>
          </rPr>
          <t>The step up ratio from the minimum supply voltage to the load voltage can be achieved without exceeding the maximum duty cycle. Continous conduction mode is possilbe at the minimum supply voltage.</t>
        </r>
        <r>
          <rPr>
            <b/>
            <sz val="9"/>
            <color indexed="81"/>
            <rFont val="Tahoma"/>
            <family val="2"/>
          </rPr>
          <t xml:space="preserve">
DCM: </t>
        </r>
        <r>
          <rPr>
            <sz val="9"/>
            <color indexed="81"/>
            <rFont val="Tahoma"/>
            <family val="2"/>
          </rPr>
          <t>Discontinous conduction mode at the minimum supply voltage must be used as the duty cycle exceeds the maximum of the IC. This will result in higher peak inductor currents and lower efficiency. If this occurs, it is possible to decrease the switching frequency to increase the maximum duty cycle.</t>
        </r>
      </text>
    </comment>
    <comment ref="H57" authorId="0" shapeId="0" xr:uid="{00000000-0006-0000-0000-000005000000}">
      <text>
        <r>
          <rPr>
            <b/>
            <sz val="9"/>
            <color indexed="81"/>
            <rFont val="Tahoma"/>
            <family val="2"/>
          </rPr>
          <t xml:space="preserve">TRK Pin Voltage:
</t>
        </r>
        <r>
          <rPr>
            <sz val="9"/>
            <color indexed="81"/>
            <rFont val="Tahoma"/>
            <family val="2"/>
          </rPr>
          <t xml:space="preserve">
This is the voltage seen at the TRK pin when regulation to the load voltage. The TRK pin can be driven from an external voltage source or it can be supplied through a resistor divider from the REF pin. 
</t>
        </r>
      </text>
    </comment>
    <comment ref="H60" authorId="0" shapeId="0" xr:uid="{00000000-0006-0000-0000-000006000000}">
      <text>
        <r>
          <rPr>
            <b/>
            <sz val="9"/>
            <color indexed="81"/>
            <rFont val="Tahoma"/>
            <family val="2"/>
          </rPr>
          <t xml:space="preserve">RVREFT selection
</t>
        </r>
        <r>
          <rPr>
            <sz val="9"/>
            <color indexed="81"/>
            <rFont val="Tahoma"/>
            <family val="2"/>
          </rPr>
          <t xml:space="preserve">Select the a resistor value between RVREFT_min and VREFT_max. This will set the LM5123 to be in the correct output voltage range for the application.
</t>
        </r>
      </text>
    </comment>
    <comment ref="H62" authorId="0" shapeId="0" xr:uid="{00000000-0006-0000-0000-000007000000}">
      <text>
        <r>
          <rPr>
            <b/>
            <sz val="9"/>
            <color indexed="81"/>
            <rFont val="Tahoma"/>
            <family val="2"/>
          </rPr>
          <t xml:space="preserve">RVREFB Selection
</t>
        </r>
        <r>
          <rPr>
            <sz val="9"/>
            <color indexed="81"/>
            <rFont val="Tahoma"/>
            <family val="2"/>
          </rPr>
          <t xml:space="preserve">This value should be the same value as the VREFB_calc value. This sets the load voltage of the boost controler 
</t>
        </r>
      </text>
    </comment>
    <comment ref="H65" authorId="0" shapeId="0" xr:uid="{00000000-0006-0000-0000-000008000000}">
      <text>
        <r>
          <rPr>
            <b/>
            <sz val="9"/>
            <color indexed="81"/>
            <rFont val="Tahoma"/>
            <family val="2"/>
          </rPr>
          <t>Control Loop Bandwidth</t>
        </r>
        <r>
          <rPr>
            <sz val="9"/>
            <color indexed="81"/>
            <rFont val="Tahoma"/>
            <family val="2"/>
          </rPr>
          <t xml:space="preserve">
This sets the bandwidth of the control loop. In a boost controler the RHP zero of the plant transfer function limits the maximum value of the control loop bandwidth. It is recommended to not exceed 1/5th the RHP zero frequency. The FCO_calc value calculates the 1/5th the RHP zero frequency. It is recommend to not exceed the FCO_calc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93" authorId="0" shapeId="0" xr:uid="{00000000-0006-0000-0100-000001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94" authorId="0" shapeId="0" xr:uid="{00000000-0006-0000-0100-000002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<sst xmlns="http://schemas.openxmlformats.org/spreadsheetml/2006/main" count="1065" uniqueCount="610">
  <si>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</si>
  <si>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</si>
  <si>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</si>
  <si>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</si>
  <si>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</si>
  <si>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</si>
  <si>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</si>
  <si>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</si>
  <si>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</si>
  <si>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</si>
  <si>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</si>
  <si>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</si>
  <si>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</si>
  <si>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</si>
  <si>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</si>
  <si>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</si>
  <si>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</si>
  <si>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</si>
  <si>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</si>
  <si>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</si>
  <si>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</si>
  <si>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</si>
  <si>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</si>
  <si>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</si>
  <si>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</si>
  <si>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</si>
  <si>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</si>
  <si>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</si>
  <si>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</si>
  <si>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</si>
  <si>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</si>
  <si>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</si>
  <si>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</si>
  <si>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</si>
  <si>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</si>
  <si>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</si>
  <si>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</si>
  <si>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</si>
  <si>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</si>
  <si>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</si>
  <si>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</si>
  <si>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</si>
  <si>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</si>
  <si>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</si>
  <si>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</si>
  <si>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</si>
  <si>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</si>
  <si>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</si>
  <si>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</si>
  <si>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</si>
  <si>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</si>
  <si>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</si>
  <si>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</si>
  <si>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</si>
  <si>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</si>
  <si>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</si>
  <si>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</si>
  <si>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</si>
  <si>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</si>
  <si>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</si>
  <si>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</si>
  <si>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</si>
  <si>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</si>
  <si>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</si>
  <si>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</si>
  <si>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</si>
  <si>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</si>
  <si>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</si>
  <si>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</si>
  <si>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</si>
  <si>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</si>
  <si>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</si>
  <si>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</si>
  <si>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</si>
  <si>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</si>
  <si>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</si>
  <si>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</si>
  <si>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</si>
  <si>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</si>
  <si>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</si>
  <si>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ton_min</t>
  </si>
  <si>
    <t>Typical Ton minimum value</t>
  </si>
  <si>
    <t>IL_avg_VIN_min</t>
  </si>
  <si>
    <t>IL_avg_VIN_nom</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</si>
  <si>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</si>
  <si>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</si>
  <si>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</si>
  <si>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</si>
  <si>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</si>
  <si>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</si>
  <si>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</si>
  <si>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Rdcr</t>
  </si>
  <si>
    <r>
      <t>m</t>
    </r>
    <r>
      <rPr>
        <sz val="11"/>
        <color theme="1"/>
        <rFont val="Calibri"/>
        <family val="2"/>
      </rPr>
      <t>Ω</t>
    </r>
  </si>
  <si>
    <r>
      <t>Peak inductor current, IL</t>
    </r>
    <r>
      <rPr>
        <vertAlign val="subscript"/>
        <sz val="10"/>
        <color theme="1"/>
        <rFont val="Calibri"/>
        <family val="2"/>
        <scheme val="minor"/>
      </rPr>
      <t>PK</t>
    </r>
  </si>
  <si>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</si>
  <si>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</si>
  <si>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</si>
  <si>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</si>
  <si>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</si>
  <si>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</si>
  <si>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</si>
  <si>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</si>
  <si>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</si>
  <si>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</si>
  <si>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</si>
  <si>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</si>
  <si>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</si>
  <si>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</si>
  <si>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</si>
  <si>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</si>
  <si>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</si>
  <si>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</si>
  <si>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</si>
  <si>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</si>
  <si>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</si>
  <si>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</si>
  <si>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</si>
  <si>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Peak ripple ratio: Boost this happens at 33%</t>
  </si>
  <si>
    <t>Dc_rip_max</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</si>
  <si>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</si>
  <si>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</si>
  <si>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</si>
  <si>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</si>
  <si>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</si>
  <si>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</si>
  <si>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</si>
  <si>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</si>
  <si>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Isl</t>
  </si>
  <si>
    <t>Internal slope compensation ramp</t>
  </si>
  <si>
    <t>Rsl_int</t>
  </si>
  <si>
    <t>Internal Slope compensation resistor</t>
  </si>
  <si>
    <t>Rcs_wo_sl</t>
  </si>
  <si>
    <t>Vcl</t>
  </si>
  <si>
    <t>Current Limit Value. See datsheet for Parameters</t>
  </si>
  <si>
    <t>Flag_ext_sl</t>
  </si>
  <si>
    <t>R_cs_calc</t>
  </si>
  <si>
    <t>R_sl_calc</t>
  </si>
  <si>
    <t>R_cs</t>
  </si>
  <si>
    <t>R_sl</t>
  </si>
  <si>
    <t>Selected current sense Resistor</t>
  </si>
  <si>
    <t>Check to make sure that slope compensation is high enough at the minimum input voltage</t>
  </si>
  <si>
    <t>Slope Compensation</t>
  </si>
  <si>
    <t>sl_vin_min</t>
  </si>
  <si>
    <t>Actual inductor peak current limit</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</si>
  <si>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</si>
  <si>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</si>
  <si>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</si>
  <si>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</si>
  <si>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</si>
  <si>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</si>
  <si>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</si>
  <si>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</si>
  <si>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</si>
  <si>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</si>
  <si>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Step 4: Output Capacitor Selection</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</si>
  <si>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</si>
  <si>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</si>
  <si>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</si>
  <si>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</si>
  <si>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</si>
  <si>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</si>
  <si>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</si>
  <si>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</si>
  <si>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</si>
  <si>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</si>
  <si>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</si>
  <si>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</si>
  <si>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</si>
  <si>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</si>
  <si>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</si>
  <si>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r>
      <t>Selected Peak Current limit(IL</t>
    </r>
    <r>
      <rPr>
        <vertAlign val="subscript"/>
        <sz val="11"/>
        <color theme="1"/>
        <rFont val="Calibri"/>
        <family val="2"/>
        <scheme val="minor"/>
      </rPr>
      <t>PK_select</t>
    </r>
    <r>
      <rPr>
        <sz val="11"/>
        <color theme="1"/>
        <rFont val="Calibri"/>
        <family val="2"/>
        <scheme val="minor"/>
      </rPr>
      <t>)</t>
    </r>
  </si>
  <si>
    <t>Step 5: Loop Compensation</t>
  </si>
  <si>
    <t>Input Parameters</t>
  </si>
  <si>
    <t>Output Voltage</t>
  </si>
  <si>
    <t>Component Selection</t>
  </si>
  <si>
    <t>LM</t>
  </si>
  <si>
    <t>filter Inductor</t>
  </si>
  <si>
    <t>Current sense resi</t>
  </si>
  <si>
    <t>Interanl Slope Compesnation Resistor</t>
  </si>
  <si>
    <t>Interanl Slope Compesnation current</t>
  </si>
  <si>
    <t>RCOMP</t>
  </si>
  <si>
    <t>kΩ</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</si>
  <si>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</si>
  <si>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</si>
  <si>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</si>
  <si>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</si>
  <si>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</si>
  <si>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</si>
  <si>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</si>
  <si>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</si>
  <si>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</si>
  <si>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</si>
  <si>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</si>
  <si>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</si>
  <si>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</si>
  <si>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</si>
  <si>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</si>
  <si>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</si>
  <si>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</si>
  <si>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</si>
  <si>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</si>
  <si>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</si>
  <si>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</si>
  <si>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</si>
  <si>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</si>
  <si>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</si>
  <si>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</si>
  <si>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</si>
  <si>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</si>
  <si>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</si>
  <si>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</si>
  <si>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</si>
  <si>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</si>
  <si>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</si>
  <si>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</si>
  <si>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</si>
  <si>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</si>
  <si>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</si>
  <si>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</si>
  <si>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</si>
  <si>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</si>
  <si>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</si>
  <si>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</si>
  <si>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</si>
  <si>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</si>
  <si>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</si>
  <si>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</si>
  <si>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</si>
  <si>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</si>
  <si>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</si>
  <si>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</si>
  <si>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</si>
  <si>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</si>
  <si>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</si>
  <si>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</si>
  <si>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</si>
  <si>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</si>
  <si>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</si>
  <si>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</si>
  <si>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</si>
  <si>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</si>
  <si>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</si>
  <si>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</si>
  <si>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</si>
  <si>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</si>
  <si>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</si>
  <si>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</si>
  <si>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</si>
  <si>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</si>
  <si>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</si>
  <si>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</si>
  <si>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</si>
  <si>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</si>
  <si>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</si>
  <si>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t>
  </si>
  <si>
    <t>Desired Crossover frequency</t>
  </si>
  <si>
    <t>1/10 the swictching frequency</t>
  </si>
  <si>
    <t>Select the lower crossover frequency</t>
  </si>
  <si>
    <t>wz_RHP</t>
  </si>
  <si>
    <t>Rcomp_Calc</t>
  </si>
  <si>
    <t>Calculate on based on the desired Mid-band gain needed to set the crossover frequency</t>
  </si>
  <si>
    <t>fz_ea_est</t>
  </si>
  <si>
    <t>CCOMP_calc</t>
  </si>
  <si>
    <t>fp_ea_est</t>
  </si>
  <si>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</si>
  <si>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</si>
  <si>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</si>
  <si>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</si>
  <si>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</si>
  <si>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</si>
  <si>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</si>
  <si>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</si>
  <si>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</si>
  <si>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</si>
  <si>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</si>
  <si>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</si>
  <si>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</si>
  <si>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</si>
  <si>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</si>
  <si>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</si>
  <si>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</si>
  <si>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</si>
  <si>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</si>
  <si>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</si>
  <si>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</si>
  <si>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</si>
  <si>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</si>
  <si>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</si>
  <si>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</si>
  <si>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</si>
  <si>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</si>
  <si>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</si>
  <si>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</si>
  <si>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</si>
  <si>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</si>
  <si>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</si>
  <si>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</si>
  <si>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</si>
  <si>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</si>
  <si>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</si>
  <si>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</si>
  <si>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</si>
  <si>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</si>
  <si>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</si>
  <si>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</si>
  <si>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</si>
  <si>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</si>
  <si>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</si>
  <si>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</si>
  <si>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</si>
  <si>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</si>
  <si>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</si>
  <si>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</si>
  <si>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</si>
  <si>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</si>
  <si>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</si>
  <si>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</si>
  <si>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</si>
  <si>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</si>
  <si>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</si>
  <si>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t>Step 7: Component Selection</t>
  </si>
  <si>
    <t>Vd_rect</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</si>
  <si>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</si>
  <si>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</si>
  <si>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</si>
  <si>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</si>
  <si>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</si>
  <si>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</si>
  <si>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</si>
  <si>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</si>
  <si>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</si>
  <si>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</si>
  <si>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</si>
  <si>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</si>
  <si>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</si>
  <si>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</si>
  <si>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</si>
  <si>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</si>
  <si>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</si>
  <si>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Qg_tot</t>
  </si>
  <si>
    <t>Qgs</t>
  </si>
  <si>
    <t>Qgd</t>
  </si>
  <si>
    <t>Rgate</t>
  </si>
  <si>
    <t>gfs</t>
  </si>
  <si>
    <t>Vth</t>
  </si>
  <si>
    <t>C</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</si>
  <si>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</si>
  <si>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</si>
  <si>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</si>
  <si>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</si>
  <si>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</si>
  <si>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</si>
  <si>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</si>
  <si>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</si>
  <si>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</si>
  <si>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</si>
  <si>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</si>
  <si>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</si>
  <si>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Need to double check this value</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</si>
  <si>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</si>
  <si>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</si>
  <si>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</si>
  <si>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</si>
  <si>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</si>
  <si>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</si>
  <si>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</si>
  <si>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</si>
  <si>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</si>
  <si>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</si>
  <si>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</si>
  <si>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</si>
  <si>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</si>
  <si>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</si>
  <si>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</si>
  <si>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</si>
  <si>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</si>
  <si>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</si>
  <si>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</si>
  <si>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</si>
  <si>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Inductor</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</si>
  <si>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</si>
  <si>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</si>
  <si>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</si>
  <si>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</si>
  <si>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</si>
  <si>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</si>
  <si>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</si>
  <si>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</si>
  <si>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</si>
  <si>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</si>
  <si>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</si>
  <si>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</si>
  <si>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</si>
  <si>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</si>
  <si>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</si>
  <si>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</si>
  <si>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</si>
  <si>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</si>
  <si>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</si>
  <si>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</si>
  <si>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</si>
  <si>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</si>
  <si>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</si>
  <si>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</si>
  <si>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</si>
  <si>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</si>
  <si>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</si>
  <si>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</si>
  <si>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</si>
  <si>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</si>
  <si>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</si>
  <si>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</si>
  <si>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</si>
  <si>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</si>
  <si>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</si>
  <si>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</si>
  <si>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</si>
  <si>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</si>
  <si>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</si>
  <si>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</si>
  <si>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Maximum duty cycle at the minimum input voltage. Includes estimated efficiency for margin</t>
  </si>
  <si>
    <t>Duty cycle at the mimum input voltage (CCM). (First order/ ideal equation)</t>
  </si>
  <si>
    <t>Duty cycle at the nominal input voltage (CCM) (First order/ ideal equation)</t>
  </si>
  <si>
    <t>Duty cycle at the maximum input voltage (CCM) (First order/ ideal equation)</t>
  </si>
  <si>
    <t>DCM_Flag</t>
  </si>
  <si>
    <t>DC_rip</t>
  </si>
  <si>
    <t>CCM Operation calculations</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</si>
  <si>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</si>
  <si>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</si>
  <si>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</si>
  <si>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</si>
  <si>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</si>
  <si>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</si>
  <si>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</si>
  <si>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</si>
  <si>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</si>
  <si>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</si>
  <si>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</si>
  <si>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</si>
  <si>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</si>
  <si>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This value used to make the selection for CCM calculations</t>
  </si>
  <si>
    <t>Duty Cycle Calculations</t>
  </si>
  <si>
    <t>Minium input voltage</t>
  </si>
  <si>
    <t>DCc_mode_VIN_min</t>
  </si>
  <si>
    <t>DCc_mode_VIN_nom</t>
  </si>
  <si>
    <t>DCc_mode_VIN_max</t>
  </si>
  <si>
    <t>IL_avg_VIN_max</t>
  </si>
  <si>
    <t>Current Sense Resistor calculated, id DCM this is going to be the value calculated without slope compensation</t>
  </si>
  <si>
    <t>External Compensation? (0-no, 1-yes), Only accurate for CCM as DCM doesn't need slope compensation</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</si>
  <si>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</si>
  <si>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</si>
  <si>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</si>
  <si>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</si>
  <si>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</si>
  <si>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</si>
  <si>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</si>
  <si>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</si>
  <si>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</si>
  <si>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</si>
  <si>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</si>
  <si>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</si>
  <si>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</si>
  <si>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</si>
  <si>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</si>
  <si>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r>
      <t xml:space="preserve">Conservative. Set Fcross to be 1/5th the RHP zero frequency or 1/10th SW: whichever is lower. </t>
    </r>
    <r>
      <rPr>
        <b/>
        <sz val="11"/>
        <color theme="1"/>
        <rFont val="Calibri"/>
        <family val="2"/>
        <scheme val="minor"/>
      </rPr>
      <t>Note this is just for CCM operation</t>
    </r>
  </si>
  <si>
    <t>General Loop Selections</t>
  </si>
  <si>
    <t>Rcomp_Calc_DCM</t>
  </si>
  <si>
    <t>Calcualted based on the desired Zero frequency. Set at the geometric mean between the crossover frequency and the load pole</t>
  </si>
  <si>
    <t>Calcualted based on the RHP zero frequency</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</si>
  <si>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</si>
  <si>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</si>
  <si>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</si>
  <si>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</si>
  <si>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</si>
  <si>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</si>
  <si>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</si>
  <si>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</si>
  <si>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</si>
  <si>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</si>
  <si>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</si>
  <si>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DC_VIN_var_DCM</t>
  </si>
  <si>
    <t>Operating mode</t>
  </si>
  <si>
    <t>0 - DCM operation, 1- CCM opertaion</t>
  </si>
  <si>
    <t>wp_lf_DCM</t>
  </si>
  <si>
    <t>CCM Open Loop Response</t>
  </si>
  <si>
    <t>DCM Open Loop Response</t>
  </si>
  <si>
    <t>Displayed Loop Calclation</t>
  </si>
  <si>
    <t>Gain(dB)</t>
  </si>
  <si>
    <t>Phase (deg)</t>
  </si>
  <si>
    <t>RAD</t>
  </si>
  <si>
    <t>This sets the error amp zero at the geometric mean between the load pole and the crossover frequency</t>
  </si>
  <si>
    <t>Vsl</t>
  </si>
  <si>
    <r>
      <t xml:space="preserve">Current sense resistor without slope compensation </t>
    </r>
    <r>
      <rPr>
        <b/>
        <sz val="11"/>
        <color theme="1"/>
        <rFont val="Calibri"/>
        <family val="2"/>
        <scheme val="minor"/>
      </rPr>
      <t>(No variable slope compensation of the LM5127)</t>
    </r>
  </si>
  <si>
    <r>
      <t>External Slope Compensation Resistor</t>
    </r>
    <r>
      <rPr>
        <b/>
        <sz val="11"/>
        <color theme="1"/>
        <rFont val="Calibri"/>
        <family val="2"/>
        <scheme val="minor"/>
      </rPr>
      <t xml:space="preserve"> (No external Slope Comp for LM5127)</t>
    </r>
  </si>
  <si>
    <t>Kex</t>
  </si>
  <si>
    <t>Km</t>
  </si>
  <si>
    <t>Kd</t>
  </si>
  <si>
    <t>Slope compensation parameters. Will change pole and DC gain equation</t>
  </si>
  <si>
    <t>Sampling pole</t>
  </si>
  <si>
    <t>Q factor of the inductor sampling curve</t>
  </si>
  <si>
    <t>Always set to 1 right now for initial revision. Will only operate in CCM</t>
  </si>
  <si>
    <t>Kex_VINmin</t>
  </si>
  <si>
    <t>Km_VINmin</t>
  </si>
  <si>
    <t>Kd_VINmin</t>
  </si>
  <si>
    <t>Calculated at the minimum input voltage</t>
  </si>
  <si>
    <t>Slope compensation (VSL is refered to the current sense resistor)</t>
  </si>
  <si>
    <t>Uses the felxible equations used in my mathcad file.</t>
  </si>
  <si>
    <t>ae</t>
  </si>
  <si>
    <t>be</t>
  </si>
  <si>
    <t>Gfc</t>
  </si>
  <si>
    <r>
      <t>On-State Resistance, R</t>
    </r>
    <r>
      <rPr>
        <vertAlign val="subscript"/>
        <sz val="10"/>
        <color theme="2" tint="-0.89999084444715716"/>
        <rFont val="Arial"/>
        <family val="2"/>
      </rPr>
      <t>DS(on)</t>
    </r>
    <r>
      <rPr>
        <sz val="10"/>
        <color theme="2" tint="-0.89999084444715716"/>
        <rFont val="Arial"/>
        <family val="2"/>
      </rPr>
      <t xml:space="preserve"> </t>
    </r>
  </si>
  <si>
    <r>
      <t>Total Gate Charge, Q</t>
    </r>
    <r>
      <rPr>
        <vertAlign val="subscript"/>
        <sz val="10"/>
        <color theme="2" tint="-0.89999084444715716"/>
        <rFont val="Arial"/>
        <family val="2"/>
      </rPr>
      <t>G</t>
    </r>
    <r>
      <rPr>
        <sz val="10"/>
        <color theme="2" tint="-0.89999084444715716"/>
        <rFont val="Arial"/>
        <family val="2"/>
      </rPr>
      <t xml:space="preserve"> </t>
    </r>
  </si>
  <si>
    <r>
      <t>Gate-Drain Charge, Q</t>
    </r>
    <r>
      <rPr>
        <vertAlign val="subscript"/>
        <sz val="10"/>
        <color theme="2" tint="-0.89999084444715716"/>
        <rFont val="Arial"/>
        <family val="2"/>
      </rPr>
      <t>GD</t>
    </r>
    <r>
      <rPr>
        <sz val="10"/>
        <color theme="2" tint="-0.89999084444715716"/>
        <rFont val="Arial"/>
        <family val="2"/>
      </rPr>
      <t xml:space="preserve"> </t>
    </r>
  </si>
  <si>
    <r>
      <t>Gate-Source Charge, Q</t>
    </r>
    <r>
      <rPr>
        <vertAlign val="subscript"/>
        <sz val="10"/>
        <color theme="2" tint="-0.89999084444715716"/>
        <rFont val="Arial"/>
        <family val="2"/>
      </rPr>
      <t>GS</t>
    </r>
    <r>
      <rPr>
        <sz val="10"/>
        <color theme="2" tint="-0.89999084444715716"/>
        <rFont val="Arial"/>
        <family val="2"/>
      </rPr>
      <t xml:space="preserve"> </t>
    </r>
  </si>
  <si>
    <r>
      <t>Gate Resistance, R</t>
    </r>
    <r>
      <rPr>
        <vertAlign val="subscript"/>
        <sz val="10"/>
        <color theme="2" tint="-0.89999084444715716"/>
        <rFont val="Arial"/>
        <family val="2"/>
      </rPr>
      <t>G</t>
    </r>
    <r>
      <rPr>
        <sz val="10"/>
        <color theme="2" tint="-0.89999084444715716"/>
        <rFont val="Arial"/>
        <family val="2"/>
      </rPr>
      <t xml:space="preserve"> </t>
    </r>
  </si>
  <si>
    <r>
      <t>Gate-Source Threshold Voltage, V</t>
    </r>
    <r>
      <rPr>
        <vertAlign val="subscript"/>
        <sz val="10"/>
        <color theme="2" tint="-0.89999084444715716"/>
        <rFont val="Arial"/>
        <family val="2"/>
      </rPr>
      <t>TH</t>
    </r>
    <r>
      <rPr>
        <sz val="10"/>
        <color theme="2" tint="-0.89999084444715716"/>
        <rFont val="Arial"/>
        <family val="2"/>
      </rPr>
      <t xml:space="preserve"> </t>
    </r>
  </si>
  <si>
    <r>
      <t>Boost Converter Duty Cycle Limit of LM5123 at V</t>
    </r>
    <r>
      <rPr>
        <vertAlign val="subscript"/>
        <sz val="10"/>
        <color theme="1"/>
        <rFont val="Calibri"/>
        <family val="2"/>
        <scheme val="minor"/>
      </rPr>
      <t>SUPPLY(MIN)</t>
    </r>
  </si>
  <si>
    <t>LM5123 BOOST Controller Design Tool</t>
  </si>
  <si>
    <t>VOUT_range</t>
  </si>
  <si>
    <t>Suggested output voltage range</t>
  </si>
  <si>
    <t xml:space="preserve">Sets the feedback divider. Unique to the LM5123 topology (1 = low voltage &lt;=15V, 2 = high voltage &gt;15V) </t>
  </si>
  <si>
    <t>Light load operation switching mode</t>
  </si>
  <si>
    <t>SW_mode</t>
  </si>
  <si>
    <t>selected switching mode (1 = SKIP, 2 = DEM, 3 =FPWM) Will change the effieciency calculations accordingly</t>
  </si>
  <si>
    <r>
      <t>Switching mode at V</t>
    </r>
    <r>
      <rPr>
        <vertAlign val="subscript"/>
        <sz val="11"/>
        <color theme="1"/>
        <rFont val="Calibri"/>
        <family val="2"/>
        <scheme val="minor"/>
      </rPr>
      <t>SUPPLY(min)</t>
    </r>
  </si>
  <si>
    <t xml:space="preserve">Estimated efficiency. Assuming 100% simplify the calculations </t>
  </si>
  <si>
    <t xml:space="preserve">1: DCM operation required at VINmin to achieve the step-up ratio. 
</t>
  </si>
  <si>
    <t>2: CCM operation can achieve step-up ratio with out violating the maximum duty cycle</t>
  </si>
  <si>
    <t>Maximum IC duty cycle. Based on the forced off time and frequency. Give the equation about 2% margin to allow for losses in the controller</t>
  </si>
  <si>
    <t>DCM Operation calculations</t>
  </si>
  <si>
    <t>Indicates if the regulator is operating in CCM or DCM at full load (1 = CCM, 0 = DCM)</t>
  </si>
  <si>
    <t>Np</t>
  </si>
  <si>
    <t>number of phases in operation (For the LM5123 only one phase is possilbe with out external circuts)</t>
  </si>
  <si>
    <t>Normal</t>
  </si>
  <si>
    <t>Indicates if the regulator is operating in CCM or DCM at full load (1 = CCM, 0 = DCM). If FPWM mode is selected always picks CCM operation</t>
  </si>
  <si>
    <t>ratio of down slope to slope compensation. This helps to prevent sub-harmonic oscillation in conditions where the duty cycle is &gt; 50%</t>
  </si>
  <si>
    <r>
      <t>External slope compensation resistor, if DCM operation the external slope compensation is not needed. Should b 0 Ohm (</t>
    </r>
    <r>
      <rPr>
        <b/>
        <sz val="11"/>
        <color theme="1"/>
        <rFont val="Calibri"/>
        <family val="2"/>
        <scheme val="minor"/>
      </rPr>
      <t>No external slope comp in LM5123)</t>
    </r>
  </si>
  <si>
    <r>
      <t>Selected external slope compensation (</t>
    </r>
    <r>
      <rPr>
        <b/>
        <sz val="11"/>
        <color theme="1"/>
        <rFont val="Calibri"/>
        <family val="2"/>
        <scheme val="minor"/>
      </rPr>
      <t>No varialbe slope compenstiaon for the LM5123)</t>
    </r>
  </si>
  <si>
    <t>Can add this in later to make sure the dynamic range of the error amplifier is not violated</t>
  </si>
  <si>
    <t>HZ</t>
  </si>
  <si>
    <t>Estimate to be 1.5 the RHP zero frequency. Pick based on DCM or CCM operation.</t>
  </si>
  <si>
    <t>RMS current of the output capacitor at VIN min IOUT max. RMS current rating should be larger than this. Need to update for DCM</t>
  </si>
  <si>
    <r>
      <t>Desired voltage On (V</t>
    </r>
    <r>
      <rPr>
        <vertAlign val="subscript"/>
        <sz val="11"/>
        <color theme="1"/>
        <rFont val="Calibri"/>
        <family val="2"/>
        <scheme val="minor"/>
      </rPr>
      <t>UVLO_ON</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</si>
  <si>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</si>
  <si>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</si>
  <si>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</si>
  <si>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</si>
  <si>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Step 5: UVLO Resistor Divider Selection</t>
  </si>
  <si>
    <t>Step 6: Soft-Start Capacitor Selection</t>
  </si>
  <si>
    <t>*The output capcitance is based on the load transient specification. Similar to the fylback converter</t>
  </si>
  <si>
    <t>Vout_Range</t>
  </si>
  <si>
    <t>KFB</t>
  </si>
  <si>
    <t>Kfb_low</t>
  </si>
  <si>
    <t>Kfb_high</t>
  </si>
  <si>
    <t>Rmax_low</t>
  </si>
  <si>
    <t>Rmax_high</t>
  </si>
  <si>
    <t>Rmin_low</t>
  </si>
  <si>
    <t>Rmin_high</t>
  </si>
  <si>
    <t>Rmax</t>
  </si>
  <si>
    <t>Rmin</t>
  </si>
  <si>
    <t>RFBT_max</t>
  </si>
  <si>
    <t>RFBT_min</t>
  </si>
  <si>
    <t>VTRK</t>
  </si>
  <si>
    <t>TRK pin voltage to set the correct output voltage</t>
  </si>
  <si>
    <t>VREF Resistor Selection</t>
  </si>
  <si>
    <r>
      <t>Calculated bottom feedback resistor (R</t>
    </r>
    <r>
      <rPr>
        <vertAlign val="subscript"/>
        <sz val="11"/>
        <color theme="1"/>
        <rFont val="Calibri"/>
        <family val="2"/>
        <scheme val="minor"/>
      </rPr>
      <t>VREFB_calc</t>
    </r>
    <r>
      <rPr>
        <sz val="11"/>
        <color theme="1"/>
        <rFont val="Calibri"/>
        <family val="2"/>
        <scheme val="minor"/>
      </rPr>
      <t>)</t>
    </r>
  </si>
  <si>
    <r>
      <t>Track pin voltage to set the output voltage (V</t>
    </r>
    <r>
      <rPr>
        <vertAlign val="subscript"/>
        <sz val="11"/>
        <color theme="1"/>
        <rFont val="Calibri"/>
        <family val="2"/>
        <scheme val="minor"/>
      </rPr>
      <t>TRK</t>
    </r>
    <r>
      <rPr>
        <sz val="11"/>
        <color theme="1"/>
        <rFont val="Calibri"/>
        <family val="2"/>
        <scheme val="minor"/>
      </rPr>
      <t>)</t>
    </r>
  </si>
  <si>
    <r>
      <rPr>
        <b/>
        <sz val="11"/>
        <color theme="1"/>
        <rFont val="Calibri"/>
        <family val="2"/>
        <scheme val="minor"/>
      </rPr>
      <t xml:space="preserve">Not used for the LM5123 or the LM5152. </t>
    </r>
    <r>
      <rPr>
        <sz val="11"/>
        <color theme="1"/>
        <rFont val="Calibri"/>
        <family val="2"/>
        <scheme val="minor"/>
      </rPr>
      <t>Current Drawn from the feedback resistors (Typically higher than 100uA to help w/ noise)</t>
    </r>
  </si>
  <si>
    <t>This is the output to the user based on the mode of operation when VIN is the minimum. Changes based on DCM or CCM operation</t>
  </si>
  <si>
    <r>
      <t>Crossover frequnecy of the</t>
    </r>
    <r>
      <rPr>
        <b/>
        <sz val="11"/>
        <color theme="1"/>
        <rFont val="Calibri"/>
        <family val="2"/>
        <scheme val="minor"/>
      </rPr>
      <t xml:space="preserve"> DCM control loop</t>
    </r>
    <r>
      <rPr>
        <sz val="11"/>
        <color theme="1"/>
        <rFont val="Calibri"/>
        <family val="2"/>
        <scheme val="minor"/>
      </rPr>
      <t>. (1/5th the RHPzero frequency), or 10th the switching frequency which ever is lower</t>
    </r>
  </si>
  <si>
    <t>Selected crossover</t>
  </si>
  <si>
    <t>DCM Operation Loop Model</t>
  </si>
  <si>
    <t>Fcross (VINvar)</t>
  </si>
  <si>
    <t>Low-Side MOSFET</t>
  </si>
  <si>
    <t>High-Side MOSFET Losses</t>
  </si>
  <si>
    <t>LOW Side MOSFET Parameters</t>
  </si>
  <si>
    <t>High Side MOSFET Parameters</t>
  </si>
  <si>
    <t>Body Diode Reverse recovery charge</t>
  </si>
  <si>
    <t>Body Diode Forward drop</t>
  </si>
  <si>
    <r>
      <t>Body Diode Reverse Recovery Charge (Q</t>
    </r>
    <r>
      <rPr>
        <vertAlign val="subscript"/>
        <sz val="11"/>
        <color theme="2" tint="-0.89996032593768116"/>
        <rFont val="Calibri"/>
        <family val="2"/>
        <scheme val="minor"/>
      </rPr>
      <t>RR</t>
    </r>
    <r>
      <rPr>
        <sz val="11"/>
        <color theme="2" tint="-0.89999084444715716"/>
        <rFont val="Calibri"/>
        <family val="2"/>
        <scheme val="minor"/>
      </rPr>
      <t>)</t>
    </r>
  </si>
  <si>
    <r>
      <t>Body Diode Forward Voltage Drop (V</t>
    </r>
    <r>
      <rPr>
        <vertAlign val="subscript"/>
        <sz val="11"/>
        <color theme="2" tint="-0.89996032593768116"/>
        <rFont val="Calibri"/>
        <family val="2"/>
        <scheme val="minor"/>
      </rPr>
      <t>D_BD</t>
    </r>
    <r>
      <rPr>
        <sz val="11"/>
        <color theme="2" tint="-0.89999084444715716"/>
        <rFont val="Calibri"/>
        <family val="2"/>
        <scheme val="minor"/>
      </rPr>
      <t>)</t>
    </r>
  </si>
  <si>
    <r>
      <t>Gate-Source Threshold Voltage, (V</t>
    </r>
    <r>
      <rPr>
        <vertAlign val="subscript"/>
        <sz val="10"/>
        <color theme="2" tint="-0.89999084444715716"/>
        <rFont val="Arial"/>
        <family val="2"/>
      </rPr>
      <t>TH</t>
    </r>
    <r>
      <rPr>
        <sz val="10"/>
        <color theme="2" tint="-0.89999084444715716"/>
        <rFont val="Arial"/>
        <family val="2"/>
      </rPr>
      <t>)</t>
    </r>
  </si>
  <si>
    <r>
      <t>Gate Resistance, (R</t>
    </r>
    <r>
      <rPr>
        <vertAlign val="subscript"/>
        <sz val="10"/>
        <color theme="2" tint="-0.89999084444715716"/>
        <rFont val="Arial"/>
        <family val="2"/>
      </rPr>
      <t>G</t>
    </r>
    <r>
      <rPr>
        <sz val="10"/>
        <color theme="2" tint="-0.89999084444715716"/>
        <rFont val="Arial"/>
        <family val="2"/>
      </rPr>
      <t>)</t>
    </r>
  </si>
  <si>
    <r>
      <t>On-State Resistance, (R</t>
    </r>
    <r>
      <rPr>
        <vertAlign val="subscript"/>
        <sz val="10"/>
        <color theme="2" tint="-0.89999084444715716"/>
        <rFont val="Arial"/>
        <family val="2"/>
      </rPr>
      <t>DS(on)</t>
    </r>
    <r>
      <rPr>
        <sz val="10"/>
        <color theme="2" tint="-0.89999084444715716"/>
        <rFont val="Arial"/>
        <family val="2"/>
      </rPr>
      <t>)</t>
    </r>
  </si>
  <si>
    <r>
      <t>Total Gate Charge, (Q</t>
    </r>
    <r>
      <rPr>
        <vertAlign val="subscript"/>
        <sz val="10"/>
        <color theme="2" tint="-0.89999084444715716"/>
        <rFont val="Arial"/>
        <family val="2"/>
      </rPr>
      <t>G</t>
    </r>
    <r>
      <rPr>
        <sz val="10"/>
        <color theme="2" tint="-0.89999084444715716"/>
        <rFont val="Arial"/>
        <family val="2"/>
      </rPr>
      <t>)</t>
    </r>
  </si>
  <si>
    <r>
      <t>Gate-Drain Charge, (Q</t>
    </r>
    <r>
      <rPr>
        <vertAlign val="subscript"/>
        <sz val="10"/>
        <color theme="2" tint="-0.89999084444715716"/>
        <rFont val="Arial"/>
        <family val="2"/>
      </rPr>
      <t>GD</t>
    </r>
    <r>
      <rPr>
        <sz val="10"/>
        <color theme="2" tint="-0.89999084444715716"/>
        <rFont val="Arial"/>
        <family val="2"/>
      </rPr>
      <t>)</t>
    </r>
  </si>
  <si>
    <r>
      <t>Gate-Source Charge, (Q</t>
    </r>
    <r>
      <rPr>
        <vertAlign val="subscript"/>
        <sz val="10"/>
        <color theme="2" tint="-0.89999084444715716"/>
        <rFont val="Arial"/>
        <family val="2"/>
      </rPr>
      <t>GS</t>
    </r>
    <r>
      <rPr>
        <sz val="10"/>
        <color theme="2" tint="-0.89999084444715716"/>
        <rFont val="Arial"/>
        <family val="2"/>
      </rPr>
      <t>)</t>
    </r>
  </si>
  <si>
    <r>
      <t>IHS</t>
    </r>
    <r>
      <rPr>
        <vertAlign val="subscript"/>
        <sz val="11"/>
        <color theme="1"/>
        <rFont val="Calibri"/>
        <family val="2"/>
        <scheme val="minor"/>
      </rPr>
      <t>RMS</t>
    </r>
  </si>
  <si>
    <t>Dead Time losses</t>
  </si>
  <si>
    <t>Dead time losses (Sync Controller)</t>
  </si>
  <si>
    <t>t_dead</t>
  </si>
  <si>
    <r>
      <t>P</t>
    </r>
    <r>
      <rPr>
        <vertAlign val="subscript"/>
        <sz val="11"/>
        <color theme="1"/>
        <rFont val="Calibri"/>
        <family val="2"/>
        <scheme val="minor"/>
      </rPr>
      <t xml:space="preserve">HS_tot </t>
    </r>
    <r>
      <rPr>
        <sz val="11"/>
        <color theme="1"/>
        <rFont val="Calibri"/>
        <family val="2"/>
        <scheme val="minor"/>
      </rPr>
      <t>(W)</t>
    </r>
  </si>
  <si>
    <r>
      <t>Select a top VREF resistor between R</t>
    </r>
    <r>
      <rPr>
        <vertAlign val="subscript"/>
        <sz val="11"/>
        <color theme="1"/>
        <rFont val="Calibri"/>
        <family val="2"/>
        <scheme val="minor"/>
      </rPr>
      <t>VREFT_min</t>
    </r>
    <r>
      <rPr>
        <sz val="11"/>
        <color theme="1"/>
        <rFont val="Calibri"/>
        <family val="2"/>
        <scheme val="minor"/>
      </rPr>
      <t xml:space="preserve"> and R</t>
    </r>
    <r>
      <rPr>
        <vertAlign val="subscript"/>
        <sz val="11"/>
        <color theme="1"/>
        <rFont val="Calibri"/>
        <family val="2"/>
        <scheme val="minor"/>
      </rPr>
      <t>VREFT_max</t>
    </r>
    <r>
      <rPr>
        <sz val="11"/>
        <color theme="1"/>
        <rFont val="Calibri"/>
        <family val="2"/>
        <scheme val="minor"/>
      </rPr>
      <t xml:space="preserve"> (R</t>
    </r>
    <r>
      <rPr>
        <vertAlign val="subscript"/>
        <sz val="11"/>
        <color theme="1"/>
        <rFont val="Calibri"/>
        <family val="2"/>
        <scheme val="minor"/>
      </rPr>
      <t>VREFT</t>
    </r>
    <r>
      <rPr>
        <sz val="11"/>
        <color theme="1"/>
        <rFont val="Calibri"/>
        <family val="2"/>
        <scheme val="minor"/>
      </rPr>
      <t>)</t>
    </r>
  </si>
  <si>
    <r>
      <t>P</t>
    </r>
    <r>
      <rPr>
        <vertAlign val="subscript"/>
        <sz val="11"/>
        <color theme="1"/>
        <rFont val="Calibri"/>
        <family val="2"/>
        <scheme val="minor"/>
      </rPr>
      <t>L_CORE</t>
    </r>
    <r>
      <rPr>
        <sz val="11"/>
        <color theme="1"/>
        <rFont val="Calibri"/>
        <family val="2"/>
        <scheme val="minor"/>
      </rPr>
      <t xml:space="preserve"> (W)</t>
    </r>
  </si>
  <si>
    <r>
      <t>Low-Side MOSFET Parameters (Q</t>
    </r>
    <r>
      <rPr>
        <b/>
        <vertAlign val="subscript"/>
        <sz val="11"/>
        <color theme="2" tint="-0.89996032593768116"/>
        <rFont val="Calibri"/>
        <family val="2"/>
        <scheme val="minor"/>
      </rPr>
      <t>LS</t>
    </r>
    <r>
      <rPr>
        <b/>
        <sz val="11"/>
        <color theme="2" tint="-0.89999084444715716"/>
        <rFont val="Calibri"/>
        <family val="2"/>
        <scheme val="minor"/>
      </rPr>
      <t>)</t>
    </r>
  </si>
  <si>
    <r>
      <t>High-Side MOSFET Parameters (Q</t>
    </r>
    <r>
      <rPr>
        <b/>
        <vertAlign val="subscript"/>
        <sz val="11"/>
        <color theme="2" tint="-0.89996032593768116"/>
        <rFont val="Calibri"/>
        <family val="2"/>
        <scheme val="minor"/>
      </rPr>
      <t>HS</t>
    </r>
    <r>
      <rPr>
        <b/>
        <sz val="11"/>
        <color theme="2" tint="-0.89999084444715716"/>
        <rFont val="Calibri"/>
        <family val="2"/>
        <scheme val="minor"/>
      </rPr>
      <t>)</t>
    </r>
  </si>
  <si>
    <r>
      <t>Select a bottomresistor based on calculated balue(R</t>
    </r>
    <r>
      <rPr>
        <vertAlign val="subscript"/>
        <sz val="11"/>
        <color theme="1"/>
        <rFont val="Calibri"/>
        <family val="2"/>
        <scheme val="minor"/>
      </rPr>
      <t>VREFB</t>
    </r>
    <r>
      <rPr>
        <sz val="11"/>
        <color theme="1"/>
        <rFont val="Calibri"/>
        <family val="2"/>
        <scheme val="minor"/>
      </rPr>
      <t>)</t>
    </r>
  </si>
  <si>
    <r>
      <t>Selected bandwidth (F</t>
    </r>
    <r>
      <rPr>
        <vertAlign val="subscript"/>
        <sz val="11"/>
        <color theme="1"/>
        <rFont val="Calibri"/>
        <family val="2"/>
        <scheme val="minor"/>
      </rPr>
      <t>CO</t>
    </r>
    <r>
      <rPr>
        <sz val="11"/>
        <color theme="1"/>
        <rFont val="Calibri"/>
        <family val="2"/>
        <scheme val="minor"/>
      </rPr>
      <t>)</t>
    </r>
  </si>
  <si>
    <r>
      <t>Suggested bandwidth (F</t>
    </r>
    <r>
      <rPr>
        <vertAlign val="subscript"/>
        <sz val="11"/>
        <color theme="1"/>
        <rFont val="Calibri"/>
        <family val="2"/>
        <scheme val="minor"/>
      </rPr>
      <t>CO_calc</t>
    </r>
    <r>
      <rPr>
        <sz val="11"/>
        <color theme="1"/>
        <rFont val="Calibri"/>
        <family val="2"/>
        <scheme val="minor"/>
      </rPr>
      <t>)</t>
    </r>
  </si>
  <si>
    <r>
      <t>Minimum value for (R</t>
    </r>
    <r>
      <rPr>
        <vertAlign val="subscript"/>
        <sz val="11"/>
        <color theme="1"/>
        <rFont val="Calibri"/>
        <family val="2"/>
        <scheme val="minor"/>
      </rPr>
      <t>VREFT_min</t>
    </r>
    <r>
      <rPr>
        <sz val="11"/>
        <color theme="1"/>
        <rFont val="Calibri"/>
        <family val="2"/>
        <scheme val="minor"/>
      </rPr>
      <t>)</t>
    </r>
  </si>
  <si>
    <r>
      <t>Maximum value for (R</t>
    </r>
    <r>
      <rPr>
        <vertAlign val="subscript"/>
        <sz val="11"/>
        <color theme="1"/>
        <rFont val="Calibri"/>
        <family val="2"/>
        <scheme val="minor"/>
      </rPr>
      <t>VREFT_max</t>
    </r>
    <r>
      <rPr>
        <sz val="11"/>
        <color theme="1"/>
        <rFont val="Calibri"/>
        <family val="2"/>
        <scheme val="minor"/>
      </rPr>
      <t>)</t>
    </r>
  </si>
  <si>
    <t>nest</t>
  </si>
  <si>
    <t>estimated efficiency at the peak current limit. Keep at ~95% for SYNC boost controllers</t>
  </si>
  <si>
    <t xml:space="preserve"> </t>
  </si>
  <si>
    <t>SCH_1 = SKIP</t>
  </si>
  <si>
    <t>SCH_2 = DEM</t>
  </si>
  <si>
    <t>SCH_3 = FPWM</t>
  </si>
  <si>
    <t>DEM</t>
  </si>
  <si>
    <t>Rev 0.2</t>
  </si>
  <si>
    <t>December-2021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</si>
</sst>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0.000E+00"/>
    <numFmt numFmtId="166" formatCode="0.0000"/>
    <numFmt numFmtId="167" formatCode="0.0"/>
    <numFmt numFmtId="168" formatCode="0.0E+00"/>
    <numFmt numFmtId="169" formatCode="0.00000"/>
  </numFmts>
  <fonts count="40"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vertAlign val="subscript"/>
      <sz val="10"/>
      <name val="Arial"/>
      <family val="2"/>
    </font>
    <font>
      <vertAlign val="subscript"/>
      <sz val="11"/>
      <name val="Calibri"/>
      <family val="2"/>
      <scheme val="minor"/>
    </font>
    <font>
      <sz val="11"/>
      <color rgb="FF0070C0"/>
      <name val="Calibri"/>
      <family val="2"/>
      <scheme val="minor"/>
    </font>
    <font>
      <b/>
      <u/>
      <sz val="11"/>
      <color theme="1"/>
      <name val="Calibri"/>
      <family val="2"/>
      <scheme val="minor"/>
    </font>
    <font>
      <sz val="18"/>
      <color theme="2" tint="-0.89999084444715716"/>
      <name val="Calibri"/>
      <family val="2"/>
      <scheme val="minor"/>
    </font>
    <font>
      <sz val="11"/>
      <color theme="2" tint="-0.89999084444715716"/>
      <name val="Calibri"/>
      <family val="2"/>
      <scheme val="minor"/>
    </font>
    <font>
      <b/>
      <sz val="11"/>
      <color theme="2" tint="-0.89999084444715716"/>
      <name val="Calibri"/>
      <family val="2"/>
      <scheme val="minor"/>
    </font>
    <font>
      <sz val="10"/>
      <color theme="2" tint="-0.89999084444715716"/>
      <name val="Arial"/>
      <family val="2"/>
    </font>
    <font>
      <vertAlign val="subscript"/>
      <sz val="10"/>
      <color theme="2" tint="-0.89999084444715716"/>
      <name val="Arial"/>
      <family val="2"/>
    </font>
    <font>
      <sz val="11"/>
      <color theme="1" tint="0.14999847407452621"/>
      <name val="Calibri"/>
      <family val="2"/>
      <scheme val="minor"/>
    </font>
    <font>
      <vertAlign val="subscript"/>
      <sz val="11"/>
      <color theme="2" tint="-0.89996032593768116"/>
      <name val="Calibri"/>
      <family val="2"/>
      <scheme val="minor"/>
    </font>
    <font>
      <b/>
      <vertAlign val="subscript"/>
      <sz val="11"/>
      <color theme="2" tint="-0.89996032593768116"/>
      <name val="Calibri"/>
      <family val="2"/>
      <scheme val="minor"/>
    </font>
  </fonts>
  <fills count="1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rgb="FF00B050"/>
        <bgColor indexed="64"/>
      </patternFill>
    </fill>
  </fills>
  <borders count="31">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3" fillId="0" borderId="0"/>
    <xf numFmtId="43" fontId="4"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0" fontId="4" fillId="0" borderId="0"/>
    <xf numFmtId="0" fontId="4" fillId="0" borderId="0"/>
    <xf numFmtId="43" fontId="3" fillId="0" borderId="0" applyFont="0" applyFill="0" applyBorder="0" applyAlignment="0" applyProtection="0"/>
    <xf numFmtId="0" fontId="3" fillId="0" borderId="0"/>
    <xf numFmtId="0" fontId="3" fillId="0" borderId="0"/>
    <xf numFmtId="0" fontId="3" fillId="0" borderId="0"/>
  </cellStyleXfs>
  <cellXfs count="235">
    <xf numFmtId="0" fontId="0" fillId="0" borderId="0" xfId="0"/>
    <xf numFmtId="0" fontId="0" fillId="9" borderId="0" xfId="0" applyFill="1"/>
    <xf numFmtId="0" fontId="17" fillId="0" borderId="0" xfId="0" applyFont="1"/>
    <xf numFmtId="0" fontId="0" fillId="10" borderId="0" xfId="0" applyFill="1"/>
    <xf numFmtId="0" fontId="4" fillId="0" borderId="0" xfId="3"/>
    <xf numFmtId="0" fontId="5" fillId="0" borderId="0" xfId="3" applyFont="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xf numFmtId="0" fontId="9" fillId="0" borderId="0" xfId="3" applyFont="1"/>
    <xf numFmtId="2" fontId="0" fillId="10" borderId="0" xfId="0" applyNumberFormat="1" applyFill="1"/>
    <xf numFmtId="0" fontId="0" fillId="11" borderId="0" xfId="0" applyFill="1"/>
    <xf numFmtId="165" fontId="0" fillId="9" borderId="0" xfId="0" applyNumberFormat="1" applyFill="1"/>
    <xf numFmtId="0" fontId="5" fillId="0" borderId="0" xfId="3" applyFont="1" applyAlignment="1">
      <alignment horizontal="right"/>
    </xf>
    <xf numFmtId="0" fontId="4" fillId="0" borderId="0" xfId="3" applyAlignment="1">
      <alignment horizontal="center"/>
    </xf>
    <xf numFmtId="164" fontId="0" fillId="9" borderId="0" xfId="0" applyNumberFormat="1" applyFill="1"/>
    <xf numFmtId="2" fontId="0" fillId="9" borderId="0" xfId="0" applyNumberFormat="1" applyFill="1"/>
    <xf numFmtId="1" fontId="0" fillId="9" borderId="0" xfId="0" applyNumberFormat="1" applyFill="1"/>
    <xf numFmtId="0" fontId="16" fillId="0" borderId="0" xfId="0" applyFont="1"/>
    <xf numFmtId="164" fontId="0" fillId="0" borderId="0" xfId="0" applyNumberFormat="1"/>
    <xf numFmtId="11" fontId="15" fillId="10" borderId="0" xfId="0" applyNumberFormat="1" applyFont="1" applyFill="1"/>
    <xf numFmtId="0" fontId="18" fillId="0" borderId="0" xfId="0" applyFont="1"/>
    <xf numFmtId="11" fontId="0" fillId="9" borderId="0" xfId="0" applyNumberFormat="1" applyFill="1"/>
    <xf numFmtId="0" fontId="5" fillId="0" borderId="0" xfId="3" applyFont="1" applyAlignment="1">
      <alignment horizontal="left"/>
    </xf>
    <xf numFmtId="166"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23" fillId="0" borderId="0" xfId="0" applyFont="1"/>
    <xf numFmtId="0" fontId="24" fillId="0" borderId="0" xfId="0" applyFont="1"/>
    <xf numFmtId="164" fontId="4" fillId="0" borderId="0" xfId="3" applyNumberFormat="1"/>
    <xf numFmtId="2" fontId="0" fillId="0" borderId="0" xfId="0" applyNumberFormat="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9" xfId="3" applyBorder="1"/>
    <xf numFmtId="0" fontId="0" fillId="0" borderId="5" xfId="0" applyBorder="1"/>
    <xf numFmtId="0" fontId="4" fillId="0" borderId="7" xfId="3" applyBorder="1"/>
    <xf numFmtId="0" fontId="0" fillId="0" borderId="6" xfId="0" applyBorder="1"/>
    <xf numFmtId="0" fontId="0" fillId="0" borderId="7" xfId="0" applyBorder="1"/>
    <xf numFmtId="0" fontId="0" fillId="0" borderId="9" xfId="0" applyBorder="1"/>
    <xf numFmtId="164"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7" fontId="0" fillId="0" borderId="0" xfId="0" applyNumberFormat="1"/>
    <xf numFmtId="0" fontId="0" fillId="0" borderId="2" xfId="0" applyBorder="1"/>
    <xf numFmtId="164" fontId="4" fillId="0" borderId="3" xfId="3" applyNumberFormat="1" applyBorder="1"/>
    <xf numFmtId="0" fontId="4" fillId="0" borderId="3" xfId="3" applyBorder="1"/>
    <xf numFmtId="0" fontId="0" fillId="0" borderId="3" xfId="0" applyBorder="1"/>
    <xf numFmtId="0" fontId="4" fillId="0" borderId="2" xfId="3" applyBorder="1"/>
    <xf numFmtId="164" fontId="0" fillId="0" borderId="3" xfId="0" applyNumberFormat="1" applyBorder="1"/>
    <xf numFmtId="0" fontId="0" fillId="0" borderId="4" xfId="0" applyBorder="1"/>
    <xf numFmtId="164" fontId="4" fillId="0" borderId="8" xfId="3" applyNumberFormat="1" applyBorder="1"/>
    <xf numFmtId="0" fontId="4" fillId="0" borderId="6" xfId="3" applyBorder="1"/>
    <xf numFmtId="0" fontId="0" fillId="0" borderId="10" xfId="0" applyBorder="1"/>
    <xf numFmtId="0" fontId="0" fillId="0" borderId="11" xfId="0" applyBorder="1"/>
    <xf numFmtId="164" fontId="4" fillId="0" borderId="11" xfId="3" applyNumberFormat="1" applyBorder="1"/>
    <xf numFmtId="0" fontId="4" fillId="0" borderId="11" xfId="3" applyBorder="1"/>
    <xf numFmtId="0" fontId="4" fillId="0" borderId="10" xfId="3" applyBorder="1"/>
    <xf numFmtId="164"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13"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Alignment="1">
      <alignment horizontal="left"/>
    </xf>
    <xf numFmtId="0" fontId="4" fillId="0" borderId="8" xfId="3" applyBorder="1" applyAlignment="1">
      <alignment horizontal="left"/>
    </xf>
    <xf numFmtId="0" fontId="0" fillId="13" borderId="13" xfId="0" applyFill="1" applyBorder="1"/>
    <xf numFmtId="0" fontId="0" fillId="0" borderId="19" xfId="0" applyBorder="1"/>
    <xf numFmtId="0" fontId="0" fillId="13"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15" fillId="8" borderId="0" xfId="0" applyFont="1" applyFill="1" applyProtection="1">
      <protection hidden="1"/>
    </xf>
    <xf numFmtId="0" fontId="0" fillId="14" borderId="0" xfId="0" applyFill="1" applyProtection="1">
      <protection hidden="1"/>
    </xf>
    <xf numFmtId="0" fontId="0" fillId="8" borderId="0" xfId="0" applyFill="1" applyProtection="1">
      <protection hidden="1"/>
    </xf>
    <xf numFmtId="0" fontId="0" fillId="8" borderId="0" xfId="0" applyFill="1" applyAlignment="1" applyProtection="1">
      <alignment horizontal="right"/>
      <protection hidden="1"/>
    </xf>
    <xf numFmtId="0" fontId="2" fillId="8" borderId="0" xfId="0" applyFont="1" applyFill="1" applyProtection="1">
      <protection hidden="1"/>
    </xf>
    <xf numFmtId="0" fontId="0" fillId="7" borderId="0" xfId="0" applyFill="1" applyProtection="1">
      <protection hidden="1"/>
    </xf>
    <xf numFmtId="0" fontId="2" fillId="8" borderId="0" xfId="0" quotePrefix="1" applyFont="1" applyFill="1" applyProtection="1">
      <protection hidden="1"/>
    </xf>
    <xf numFmtId="0" fontId="2" fillId="8" borderId="0" xfId="0" applyFont="1" applyFill="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4" borderId="1" xfId="0" applyFill="1" applyBorder="1" applyProtection="1">
      <protection hidden="1"/>
    </xf>
    <xf numFmtId="0" fontId="0" fillId="15" borderId="0" xfId="0" applyFill="1" applyProtection="1">
      <protection hidden="1"/>
    </xf>
    <xf numFmtId="0" fontId="0" fillId="15" borderId="0" xfId="0" applyFill="1" applyAlignment="1" applyProtection="1">
      <alignment horizontal="right"/>
      <protection hidden="1"/>
    </xf>
    <xf numFmtId="49" fontId="0" fillId="15" borderId="0" xfId="0" applyNumberFormat="1" applyFill="1" applyProtection="1">
      <protection hidden="1"/>
    </xf>
    <xf numFmtId="0" fontId="0" fillId="15" borderId="2" xfId="0" applyFill="1" applyBorder="1" applyProtection="1">
      <protection hidden="1"/>
    </xf>
    <xf numFmtId="0" fontId="0" fillId="15" borderId="3" xfId="0" applyFill="1" applyBorder="1" applyProtection="1">
      <protection hidden="1"/>
    </xf>
    <xf numFmtId="0" fontId="13" fillId="15" borderId="3" xfId="3" applyFont="1" applyFill="1" applyBorder="1" applyAlignment="1" applyProtection="1">
      <alignment horizontal="right"/>
      <protection hidden="1"/>
    </xf>
    <xf numFmtId="0" fontId="0" fillId="15" borderId="4" xfId="0" applyFill="1" applyBorder="1" applyProtection="1">
      <protection hidden="1"/>
    </xf>
    <xf numFmtId="0" fontId="0" fillId="15" borderId="5" xfId="0" applyFill="1" applyBorder="1" applyProtection="1">
      <protection hidden="1"/>
    </xf>
    <xf numFmtId="0" fontId="13" fillId="15" borderId="0" xfId="3" applyFont="1" applyFill="1" applyAlignment="1" applyProtection="1">
      <alignment horizontal="right"/>
      <protection hidden="1"/>
    </xf>
    <xf numFmtId="0" fontId="0" fillId="15" borderId="6" xfId="0" applyFill="1" applyBorder="1" applyProtection="1">
      <protection hidden="1"/>
    </xf>
    <xf numFmtId="0" fontId="13" fillId="15" borderId="5" xfId="0" applyFont="1" applyFill="1" applyBorder="1" applyProtection="1">
      <protection hidden="1"/>
    </xf>
    <xf numFmtId="0" fontId="13" fillId="15" borderId="0" xfId="0" applyFont="1" applyFill="1" applyProtection="1">
      <protection hidden="1"/>
    </xf>
    <xf numFmtId="0" fontId="13" fillId="15" borderId="0" xfId="0" applyFont="1" applyFill="1" applyAlignment="1" applyProtection="1">
      <alignment horizontal="right"/>
      <protection hidden="1"/>
    </xf>
    <xf numFmtId="0" fontId="0" fillId="15" borderId="8" xfId="0" applyFill="1" applyBorder="1" applyProtection="1">
      <protection hidden="1"/>
    </xf>
    <xf numFmtId="0" fontId="0" fillId="15" borderId="9" xfId="0" applyFill="1" applyBorder="1" applyProtection="1">
      <protection hidden="1"/>
    </xf>
    <xf numFmtId="0" fontId="16" fillId="15" borderId="0" xfId="0" applyFont="1" applyFill="1" applyProtection="1">
      <protection hidden="1"/>
    </xf>
    <xf numFmtId="0" fontId="13" fillId="15" borderId="3" xfId="0" applyFont="1" applyFill="1" applyBorder="1" applyProtection="1">
      <protection hidden="1"/>
    </xf>
    <xf numFmtId="0" fontId="0" fillId="15" borderId="7" xfId="0" applyFill="1" applyBorder="1" applyProtection="1">
      <protection hidden="1"/>
    </xf>
    <xf numFmtId="0" fontId="13" fillId="15" borderId="8" xfId="3" applyFont="1" applyFill="1" applyBorder="1" applyAlignment="1" applyProtection="1">
      <alignment horizontal="right"/>
      <protection hidden="1"/>
    </xf>
    <xf numFmtId="0" fontId="17" fillId="15" borderId="6" xfId="0" applyFont="1" applyFill="1" applyBorder="1" applyProtection="1">
      <protection hidden="1"/>
    </xf>
    <xf numFmtId="0" fontId="0" fillId="15" borderId="8" xfId="0" applyFill="1" applyBorder="1" applyAlignment="1" applyProtection="1">
      <alignment horizontal="right"/>
      <protection hidden="1"/>
    </xf>
    <xf numFmtId="0" fontId="17" fillId="15" borderId="9" xfId="0" applyFont="1" applyFill="1" applyBorder="1" applyProtection="1">
      <protection hidden="1"/>
    </xf>
    <xf numFmtId="0" fontId="0" fillId="15" borderId="3" xfId="0" applyFill="1" applyBorder="1" applyAlignment="1" applyProtection="1">
      <alignment horizontal="right"/>
      <protection hidden="1"/>
    </xf>
    <xf numFmtId="0" fontId="16" fillId="15" borderId="2" xfId="0" applyFont="1" applyFill="1" applyBorder="1" applyProtection="1">
      <protection hidden="1"/>
    </xf>
    <xf numFmtId="0" fontId="15" fillId="15" borderId="3" xfId="0" applyFont="1" applyFill="1" applyBorder="1" applyAlignment="1" applyProtection="1">
      <alignment horizontal="right"/>
      <protection hidden="1"/>
    </xf>
    <xf numFmtId="0" fontId="16" fillId="15" borderId="5" xfId="0" applyFont="1" applyFill="1" applyBorder="1" applyProtection="1">
      <protection hidden="1"/>
    </xf>
    <xf numFmtId="0" fontId="23" fillId="15" borderId="0" xfId="0" applyFont="1" applyFill="1" applyAlignment="1" applyProtection="1">
      <alignment horizontal="right"/>
      <protection hidden="1"/>
    </xf>
    <xf numFmtId="0" fontId="0" fillId="15" borderId="0" xfId="0" applyFill="1" applyAlignment="1" applyProtection="1">
      <alignment horizontal="center"/>
      <protection hidden="1"/>
    </xf>
    <xf numFmtId="0" fontId="0" fillId="15" borderId="6" xfId="0" applyFill="1" applyBorder="1" applyAlignment="1" applyProtection="1">
      <alignment horizontal="center"/>
      <protection hidden="1"/>
    </xf>
    <xf numFmtId="0" fontId="0" fillId="14" borderId="0" xfId="0" applyFill="1" applyAlignment="1" applyProtection="1">
      <alignment horizontal="right"/>
      <protection hidden="1"/>
    </xf>
    <xf numFmtId="0" fontId="15" fillId="14"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5" borderId="25" xfId="0" applyNumberFormat="1" applyFill="1" applyBorder="1" applyProtection="1">
      <protection hidden="1"/>
    </xf>
    <xf numFmtId="0" fontId="0" fillId="15" borderId="25" xfId="0" applyFill="1" applyBorder="1" applyProtection="1">
      <protection hidden="1"/>
    </xf>
    <xf numFmtId="164" fontId="0" fillId="0" borderId="25" xfId="0" applyNumberFormat="1" applyBorder="1" applyProtection="1">
      <protection hidden="1"/>
    </xf>
    <xf numFmtId="2" fontId="0" fillId="0" borderId="26" xfId="0" applyNumberFormat="1" applyBorder="1" applyProtection="1">
      <protection hidden="1"/>
    </xf>
    <xf numFmtId="2" fontId="0" fillId="15"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ill="1" applyBorder="1" applyAlignment="1" applyProtection="1">
      <alignment vertical="top"/>
      <protection hidden="1"/>
    </xf>
    <xf numFmtId="0" fontId="0" fillId="0" borderId="25" xfId="0" applyBorder="1" applyAlignment="1" applyProtection="1">
      <alignment vertical="top"/>
      <protection hidden="1"/>
    </xf>
    <xf numFmtId="164" fontId="0" fillId="15" borderId="25" xfId="0" applyNumberFormat="1" applyFill="1" applyBorder="1" applyProtection="1">
      <protection hidden="1"/>
    </xf>
    <xf numFmtId="0" fontId="0" fillId="15" borderId="25" xfId="0" applyFill="1" applyBorder="1" applyAlignment="1" applyProtection="1">
      <alignment horizontal="center"/>
      <protection hidden="1"/>
    </xf>
    <xf numFmtId="1" fontId="0" fillId="15" borderId="7" xfId="0" applyNumberFormat="1" applyFill="1" applyBorder="1" applyProtection="1">
      <protection hidden="1"/>
    </xf>
    <xf numFmtId="0" fontId="0" fillId="7" borderId="23" xfId="0" applyFill="1" applyBorder="1" applyProtection="1">
      <protection locked="0" hidden="1"/>
    </xf>
    <xf numFmtId="0" fontId="0" fillId="7" borderId="0" xfId="0" applyFill="1"/>
    <xf numFmtId="0" fontId="30" fillId="0" borderId="0" xfId="0" applyFont="1"/>
    <xf numFmtId="0" fontId="31" fillId="0" borderId="0" xfId="0" applyFont="1"/>
    <xf numFmtId="0" fontId="0" fillId="0" borderId="0" xfId="0" applyAlignment="1">
      <alignment horizontal="center"/>
    </xf>
    <xf numFmtId="11" fontId="0" fillId="0" borderId="0" xfId="0" applyNumberFormat="1"/>
    <xf numFmtId="168" fontId="0" fillId="9" borderId="0" xfId="0" applyNumberFormat="1" applyFill="1"/>
    <xf numFmtId="0" fontId="3" fillId="0" borderId="8" xfId="3" applyFont="1" applyBorder="1"/>
    <xf numFmtId="0" fontId="23" fillId="15" borderId="24" xfId="0" applyFont="1" applyFill="1" applyBorder="1" applyAlignment="1" applyProtection="1">
      <alignment horizontal="center"/>
      <protection hidden="1"/>
    </xf>
    <xf numFmtId="0" fontId="23" fillId="0" borderId="0" xfId="0" quotePrefix="1" applyFont="1"/>
    <xf numFmtId="0" fontId="37" fillId="14" borderId="0" xfId="0" applyFont="1" applyFill="1" applyProtection="1">
      <protection hidden="1"/>
    </xf>
    <xf numFmtId="0" fontId="0" fillId="15" borderId="0" xfId="0" applyFill="1"/>
    <xf numFmtId="0" fontId="13" fillId="15" borderId="7" xfId="0" applyFont="1" applyFill="1" applyBorder="1" applyProtection="1">
      <protection hidden="1"/>
    </xf>
    <xf numFmtId="0" fontId="13" fillId="15" borderId="8" xfId="0" applyFont="1" applyFill="1" applyBorder="1" applyProtection="1">
      <protection hidden="1"/>
    </xf>
    <xf numFmtId="167" fontId="0" fillId="15" borderId="25" xfId="0" applyNumberFormat="1" applyFill="1" applyBorder="1" applyProtection="1">
      <protection hidden="1"/>
    </xf>
    <xf numFmtId="0" fontId="23" fillId="13" borderId="0" xfId="0" applyFont="1" applyFill="1"/>
    <xf numFmtId="164" fontId="0" fillId="6" borderId="0" xfId="0" applyNumberFormat="1" applyFill="1"/>
    <xf numFmtId="0" fontId="0" fillId="6" borderId="0" xfId="0" applyFill="1"/>
    <xf numFmtId="164" fontId="0" fillId="0" borderId="26" xfId="0" applyNumberFormat="1" applyBorder="1" applyProtection="1">
      <protection hidden="1"/>
    </xf>
    <xf numFmtId="169" fontId="0" fillId="0" borderId="0" xfId="0" applyNumberFormat="1"/>
    <xf numFmtId="0" fontId="17" fillId="15" borderId="10" xfId="0" applyFont="1" applyFill="1" applyBorder="1" applyAlignment="1" applyProtection="1">
      <alignment horizontal="left"/>
      <protection hidden="1"/>
    </xf>
    <xf numFmtId="0" fontId="0" fillId="15" borderId="7" xfId="0" applyFill="1" applyBorder="1" applyAlignment="1" applyProtection="1">
      <alignment horizontal="left"/>
      <protection hidden="1"/>
    </xf>
    <xf numFmtId="0" fontId="32" fillId="15" borderId="0" xfId="0" applyFont="1" applyFill="1" applyProtection="1">
      <protection hidden="1"/>
    </xf>
    <xf numFmtId="0" fontId="33" fillId="15" borderId="0" xfId="0" applyFont="1" applyFill="1" applyProtection="1">
      <protection hidden="1"/>
    </xf>
    <xf numFmtId="0" fontId="33" fillId="15" borderId="0" xfId="0" applyFont="1" applyFill="1" applyAlignment="1" applyProtection="1">
      <alignment horizontal="right"/>
      <protection hidden="1"/>
    </xf>
    <xf numFmtId="0" fontId="37" fillId="15" borderId="0" xfId="0" applyFont="1" applyFill="1" applyProtection="1">
      <protection hidden="1"/>
    </xf>
    <xf numFmtId="0" fontId="34" fillId="15" borderId="0" xfId="0" applyFont="1" applyFill="1" applyAlignment="1" applyProtection="1">
      <alignment horizontal="left"/>
      <protection hidden="1"/>
    </xf>
    <xf numFmtId="0" fontId="35" fillId="15" borderId="0" xfId="3" applyFont="1" applyFill="1" applyAlignment="1" applyProtection="1">
      <alignment horizontal="right"/>
      <protection hidden="1"/>
    </xf>
    <xf numFmtId="0" fontId="0" fillId="0" borderId="23" xfId="0" applyBorder="1"/>
    <xf numFmtId="0" fontId="0" fillId="0" borderId="25" xfId="0" applyBorder="1"/>
    <xf numFmtId="0" fontId="0" fillId="0" borderId="24" xfId="0" applyBorder="1"/>
    <xf numFmtId="0" fontId="0" fillId="0" borderId="26" xfId="0" applyBorder="1"/>
    <xf numFmtId="0" fontId="4" fillId="0" borderId="12" xfId="3" applyBorder="1"/>
    <xf numFmtId="0" fontId="3" fillId="0" borderId="10" xfId="3" applyFont="1" applyBorder="1"/>
    <xf numFmtId="0" fontId="3" fillId="0" borderId="11" xfId="3" applyFont="1" applyBorder="1"/>
    <xf numFmtId="1" fontId="0" fillId="8" borderId="0" xfId="0" applyNumberFormat="1" applyFill="1" applyProtection="1">
      <protection hidden="1"/>
    </xf>
    <xf numFmtId="167" fontId="0" fillId="0" borderId="25" xfId="0" applyNumberFormat="1" applyBorder="1" applyProtection="1">
      <protection hidden="1"/>
    </xf>
    <xf numFmtId="167" fontId="0" fillId="15" borderId="10" xfId="0" applyNumberFormat="1" applyFill="1" applyBorder="1" applyProtection="1">
      <protection hidden="1"/>
    </xf>
    <xf numFmtId="0" fontId="0" fillId="16" borderId="0" xfId="0" applyFill="1"/>
    <xf numFmtId="0" fontId="0" fillId="0" borderId="28" xfId="0" applyBorder="1"/>
    <xf numFmtId="0" fontId="37" fillId="8" borderId="0" xfId="0" applyFont="1" applyFill="1" applyProtection="1">
      <protection hidden="1"/>
    </xf>
    <xf numFmtId="0" fontId="33" fillId="15" borderId="2" xfId="0" applyFont="1" applyFill="1" applyBorder="1" applyProtection="1">
      <protection hidden="1"/>
    </xf>
    <xf numFmtId="0" fontId="33" fillId="15" borderId="3" xfId="0" applyFont="1" applyFill="1" applyBorder="1" applyProtection="1">
      <protection hidden="1"/>
    </xf>
    <xf numFmtId="0" fontId="35" fillId="15" borderId="3" xfId="3" applyFont="1" applyFill="1" applyBorder="1" applyAlignment="1" applyProtection="1">
      <alignment horizontal="right"/>
      <protection hidden="1"/>
    </xf>
    <xf numFmtId="0" fontId="35" fillId="15" borderId="4" xfId="3" applyFont="1" applyFill="1" applyBorder="1" applyProtection="1">
      <protection hidden="1"/>
    </xf>
    <xf numFmtId="0" fontId="34" fillId="15" borderId="5" xfId="0" applyFont="1" applyFill="1" applyBorder="1" applyProtection="1">
      <protection hidden="1"/>
    </xf>
    <xf numFmtId="0" fontId="35" fillId="15" borderId="6" xfId="3" applyFont="1" applyFill="1" applyBorder="1" applyProtection="1">
      <protection hidden="1"/>
    </xf>
    <xf numFmtId="0" fontId="33" fillId="15" borderId="5" xfId="0" applyFont="1" applyFill="1" applyBorder="1" applyProtection="1">
      <protection hidden="1"/>
    </xf>
    <xf numFmtId="0" fontId="33" fillId="15" borderId="7" xfId="0" applyFont="1" applyFill="1" applyBorder="1" applyProtection="1">
      <protection hidden="1"/>
    </xf>
    <xf numFmtId="0" fontId="33" fillId="15" borderId="8" xfId="0" applyFont="1" applyFill="1" applyBorder="1" applyProtection="1">
      <protection hidden="1"/>
    </xf>
    <xf numFmtId="0" fontId="35" fillId="15" borderId="8" xfId="3" applyFont="1" applyFill="1" applyBorder="1" applyAlignment="1" applyProtection="1">
      <alignment horizontal="right"/>
      <protection hidden="1"/>
    </xf>
    <xf numFmtId="0" fontId="35" fillId="15" borderId="9" xfId="3" applyFont="1" applyFill="1" applyBorder="1" applyProtection="1">
      <protection hidden="1"/>
    </xf>
    <xf numFmtId="0" fontId="33" fillId="15" borderId="6" xfId="0" applyFont="1" applyFill="1" applyBorder="1" applyProtection="1">
      <protection hidden="1"/>
    </xf>
    <xf numFmtId="0" fontId="33" fillId="15" borderId="8" xfId="0" applyFont="1" applyFill="1" applyBorder="1" applyAlignment="1" applyProtection="1">
      <alignment horizontal="right"/>
      <protection hidden="1"/>
    </xf>
    <xf numFmtId="0" fontId="33" fillId="15" borderId="9" xfId="0" applyFont="1" applyFill="1" applyBorder="1" applyProtection="1">
      <protection hidden="1"/>
    </xf>
    <xf numFmtId="0" fontId="13" fillId="15" borderId="8" xfId="0" applyFont="1" applyFill="1" applyBorder="1" applyAlignment="1" applyProtection="1">
      <alignment horizontal="right"/>
      <protection hidden="1"/>
    </xf>
    <xf numFmtId="167" fontId="0" fillId="15" borderId="26" xfId="0" applyNumberFormat="1" applyFill="1" applyBorder="1" applyProtection="1">
      <protection hidden="1"/>
    </xf>
    <xf numFmtId="0" fontId="0" fillId="0" borderId="30" xfId="0" applyBorder="1"/>
    <xf numFmtId="0" fontId="33" fillId="7" borderId="24" xfId="0" applyFont="1" applyFill="1" applyBorder="1" applyProtection="1">
      <protection locked="0" hidden="1"/>
    </xf>
    <xf numFmtId="0" fontId="33" fillId="7" borderId="25" xfId="0" applyFont="1" applyFill="1" applyBorder="1" applyProtection="1">
      <protection locked="0" hidden="1"/>
    </xf>
    <xf numFmtId="0" fontId="33" fillId="7" borderId="26" xfId="0" applyFont="1" applyFill="1" applyBorder="1" applyProtection="1">
      <protection locked="0" hidden="1"/>
    </xf>
    <xf numFmtId="2" fontId="0" fillId="7" borderId="25" xfId="0" applyNumberFormat="1" applyFill="1" applyBorder="1" applyProtection="1">
      <protection locked="0" hidden="1"/>
    </xf>
    <xf numFmtId="0" fontId="0" fillId="7" borderId="5" xfId="0" applyFill="1" applyBorder="1" applyAlignment="1" applyProtection="1">
      <alignment horizontal="center"/>
      <protection locked="0" hidden="1"/>
    </xf>
    <xf numFmtId="0" fontId="0" fillId="0" borderId="25" xfId="0" applyBorder="1" applyProtection="1">
      <protection hidden="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9"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7" xfId="0" applyBorder="1"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4" fillId="0" borderId="0" xfId="3"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23" fillId="0" borderId="2" xfId="0" applyFont="1" applyBorder="1" applyAlignment="1">
      <alignment horizontal="center"/>
    </xf>
    <xf numFmtId="0" fontId="23" fillId="0" borderId="4" xfId="0" applyFont="1" applyBorder="1" applyAlignment="1">
      <alignment horizontal="center"/>
    </xf>
  </cellXfs>
  <cellStyles count="12">
    <cellStyle name="Comma 2" xfId="5" xr:uid="{00000000-0005-0000-0000-000000000000}"/>
    <cellStyle name="Comma 3" xfId="2" xr:uid="{00000000-0005-0000-0000-000001000000}"/>
    <cellStyle name="Comma 3 2" xfId="8" xr:uid="{00000000-0005-0000-0000-000001000000}"/>
    <cellStyle name="Normal" xfId="0" builtinId="0"/>
    <cellStyle name="Normal 2" xfId="3" xr:uid="{00000000-0005-0000-0000-000003000000}"/>
    <cellStyle name="Normal 2 2" xfId="9" xr:uid="{00000000-0005-0000-0000-000003000000}"/>
    <cellStyle name="Normal 3" xfId="4" xr:uid="{00000000-0005-0000-0000-000004000000}"/>
    <cellStyle name="Normal 4" xfId="1" xr:uid="{00000000-0005-0000-0000-000005000000}"/>
    <cellStyle name="Normal 4 2" xfId="7" xr:uid="{00000000-0005-0000-0000-000006000000}"/>
    <cellStyle name="Normal 4 2 2" xfId="11" xr:uid="{00000000-0005-0000-0000-000006000000}"/>
    <cellStyle name="Normal 4 3" xfId="6" xr:uid="{00000000-0005-0000-0000-000007000000}"/>
    <cellStyle name="Normal 4 3 2" xfId="10" xr:uid="{00000000-0005-0000-0000-000007000000}"/>
  </cellStyles>
  <dxfs count="0"/>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63.496798751706223</c:v>
                </c:pt>
                <c:pt idx="1">
                  <c:v>63.296760480083492</c:v>
                </c:pt>
                <c:pt idx="2">
                  <c:v>63.096720405349451</c:v>
                </c:pt>
                <c:pt idx="3">
                  <c:v>62.896678442581631</c:v>
                </c:pt>
                <c:pt idx="4">
                  <c:v>62.696634502860569</c:v>
                </c:pt>
                <c:pt idx="5">
                  <c:v>62.496588493081866</c:v>
                </c:pt>
                <c:pt idx="6">
                  <c:v>62.29654031575982</c:v>
                </c:pt>
                <c:pt idx="7">
                  <c:v>62.096489868821394</c:v>
                </c:pt>
                <c:pt idx="8">
                  <c:v>61.896437045390805</c:v>
                </c:pt>
                <c:pt idx="9">
                  <c:v>61.696381733563584</c:v>
                </c:pt>
                <c:pt idx="10">
                  <c:v>61.496323816170857</c:v>
                </c:pt>
                <c:pt idx="11">
                  <c:v>61.296263170531979</c:v>
                </c:pt>
                <c:pt idx="12">
                  <c:v>61.09619966819551</c:v>
                </c:pt>
                <c:pt idx="13">
                  <c:v>60.896133174668698</c:v>
                </c:pt>
                <c:pt idx="14">
                  <c:v>60.69606354913369</c:v>
                </c:pt>
                <c:pt idx="15">
                  <c:v>60.49599064415073</c:v>
                </c:pt>
                <c:pt idx="16">
                  <c:v>60.295914305347786</c:v>
                </c:pt>
                <c:pt idx="17">
                  <c:v>60.095834371094973</c:v>
                </c:pt>
                <c:pt idx="18">
                  <c:v>59.895750672164496</c:v>
                </c:pt>
                <c:pt idx="19">
                  <c:v>59.695663031374409</c:v>
                </c:pt>
                <c:pt idx="20">
                  <c:v>59.49557126321551</c:v>
                </c:pt>
                <c:pt idx="21">
                  <c:v>59.29547517346171</c:v>
                </c:pt>
                <c:pt idx="22">
                  <c:v>59.095374558761151</c:v>
                </c:pt>
                <c:pt idx="23">
                  <c:v>58.895269206208987</c:v>
                </c:pt>
                <c:pt idx="24">
                  <c:v>58.695158892900139</c:v>
                </c:pt>
                <c:pt idx="25">
                  <c:v>58.495043385461464</c:v>
                </c:pt>
                <c:pt idx="26">
                  <c:v>58.29492243956139</c:v>
                </c:pt>
                <c:pt idx="27">
                  <c:v>58.094795799398071</c:v>
                </c:pt>
                <c:pt idx="28">
                  <c:v>57.89466319716243</c:v>
                </c:pt>
                <c:pt idx="29">
                  <c:v>57.694524352477529</c:v>
                </c:pt>
                <c:pt idx="30">
                  <c:v>57.494378971810832</c:v>
                </c:pt>
                <c:pt idx="31">
                  <c:v>57.294226747860449</c:v>
                </c:pt>
                <c:pt idx="32">
                  <c:v>57.094067358911744</c:v>
                </c:pt>
                <c:pt idx="33">
                  <c:v>56.893900468165334</c:v>
                </c:pt>
                <c:pt idx="34">
                  <c:v>56.69372572303331</c:v>
                </c:pt>
                <c:pt idx="35">
                  <c:v>56.493542754403414</c:v>
                </c:pt>
                <c:pt idx="36">
                  <c:v>56.293351175868992</c:v>
                </c:pt>
                <c:pt idx="37">
                  <c:v>56.093150582923961</c:v>
                </c:pt>
                <c:pt idx="38">
                  <c:v>55.892940552120223</c:v>
                </c:pt>
                <c:pt idx="39">
                  <c:v>55.692720640186877</c:v>
                </c:pt>
                <c:pt idx="40">
                  <c:v>55.492490383108745</c:v>
                </c:pt>
                <c:pt idx="41">
                  <c:v>55.292249295162918</c:v>
                </c:pt>
                <c:pt idx="42">
                  <c:v>55.091996867911035</c:v>
                </c:pt>
                <c:pt idx="43">
                  <c:v>54.891732569145518</c:v>
                </c:pt>
                <c:pt idx="44">
                  <c:v>54.691455841788354</c:v>
                </c:pt>
                <c:pt idx="45">
                  <c:v>54.491166102738617</c:v>
                </c:pt>
                <c:pt idx="46">
                  <c:v>54.290862741669116</c:v>
                </c:pt>
                <c:pt idx="47">
                  <c:v>54.090545119766809</c:v>
                </c:pt>
                <c:pt idx="48">
                  <c:v>53.890212568417965</c:v>
                </c:pt>
                <c:pt idx="49">
                  <c:v>53.689864387831875</c:v>
                </c:pt>
                <c:pt idx="50">
                  <c:v>53.489499845604797</c:v>
                </c:pt>
                <c:pt idx="51">
                  <c:v>53.289118175217098</c:v>
                </c:pt>
                <c:pt idx="52">
                  <c:v>53.088718574464686</c:v>
                </c:pt>
                <c:pt idx="53">
                  <c:v>52.888300203819078</c:v>
                </c:pt>
                <c:pt idx="54">
                  <c:v>52.687862184714703</c:v>
                </c:pt>
                <c:pt idx="55">
                  <c:v>52.487403597759858</c:v>
                </c:pt>
                <c:pt idx="56">
                  <c:v>52.28692348086782</c:v>
                </c:pt>
                <c:pt idx="57">
                  <c:v>52.086420827306398</c:v>
                </c:pt>
                <c:pt idx="58">
                  <c:v>51.885894583658931</c:v>
                </c:pt>
                <c:pt idx="59">
                  <c:v>51.68534364769868</c:v>
                </c:pt>
                <c:pt idx="60">
                  <c:v>51.484766866167419</c:v>
                </c:pt>
                <c:pt idx="61">
                  <c:v>51.284163032457862</c:v>
                </c:pt>
                <c:pt idx="62">
                  <c:v>51.083530884195952</c:v>
                </c:pt>
                <c:pt idx="63">
                  <c:v>50.882869100716846</c:v>
                </c:pt>
                <c:pt idx="64">
                  <c:v>50.682176300433248</c:v>
                </c:pt>
                <c:pt idx="65">
                  <c:v>50.481451038089787</c:v>
                </c:pt>
                <c:pt idx="66">
                  <c:v>50.280691801900154</c:v>
                </c:pt>
                <c:pt idx="67">
                  <c:v>50.079897010562476</c:v>
                </c:pt>
                <c:pt idx="68">
                  <c:v>49.879065010148722</c:v>
                </c:pt>
                <c:pt idx="69">
                  <c:v>49.678194070862396</c:v>
                </c:pt>
                <c:pt idx="70">
                  <c:v>49.47728238366053</c:v>
                </c:pt>
                <c:pt idx="71">
                  <c:v>49.27632805673607</c:v>
                </c:pt>
                <c:pt idx="72">
                  <c:v>49.075329111854238</c:v>
                </c:pt>
                <c:pt idx="73">
                  <c:v>48.874283480538537</c:v>
                </c:pt>
                <c:pt idx="74">
                  <c:v>48.673189000101644</c:v>
                </c:pt>
                <c:pt idx="75">
                  <c:v>48.47204340951631</c:v>
                </c:pt>
                <c:pt idx="76">
                  <c:v>48.27084434511994</c:v>
                </c:pt>
                <c:pt idx="77">
                  <c:v>48.069589336149591</c:v>
                </c:pt>
                <c:pt idx="78">
                  <c:v>47.868275800100832</c:v>
                </c:pt>
                <c:pt idx="79">
                  <c:v>47.66690103790598</c:v>
                </c:pt>
                <c:pt idx="80">
                  <c:v>47.465462228927102</c:v>
                </c:pt>
                <c:pt idx="81">
                  <c:v>47.263956425757513</c:v>
                </c:pt>
                <c:pt idx="82">
                  <c:v>47.062380548828827</c:v>
                </c:pt>
                <c:pt idx="83">
                  <c:v>46.860731380817349</c:v>
                </c:pt>
                <c:pt idx="84">
                  <c:v>46.659005560845969</c:v>
                </c:pt>
                <c:pt idx="85">
                  <c:v>46.457199578477038</c:v>
                </c:pt>
                <c:pt idx="86">
                  <c:v>46.255309767492612</c:v>
                </c:pt>
                <c:pt idx="87">
                  <c:v>46.053332299457665</c:v>
                </c:pt>
                <c:pt idx="88">
                  <c:v>45.85126317706407</c:v>
                </c:pt>
                <c:pt idx="89">
                  <c:v>45.649098227251173</c:v>
                </c:pt>
                <c:pt idx="90">
                  <c:v>45.446833094101116</c:v>
                </c:pt>
                <c:pt idx="91">
                  <c:v>45.244463231508192</c:v>
                </c:pt>
                <c:pt idx="92">
                  <c:v>45.041983895618984</c:v>
                </c:pt>
                <c:pt idx="93">
                  <c:v>44.839390137044646</c:v>
                </c:pt>
                <c:pt idx="94">
                  <c:v>44.636676792845591</c:v>
                </c:pt>
                <c:pt idx="95">
                  <c:v>44.433838478288934</c:v>
                </c:pt>
                <c:pt idx="96">
                  <c:v>44.230869578382325</c:v>
                </c:pt>
                <c:pt idx="97">
                  <c:v>44.027764239187768</c:v>
                </c:pt>
                <c:pt idx="98">
                  <c:v>43.824516358919865</c:v>
                </c:pt>
                <c:pt idx="99">
                  <c:v>43.621119578835554</c:v>
                </c:pt>
                <c:pt idx="100">
                  <c:v>43.417567273923197</c:v>
                </c:pt>
                <c:pt idx="101">
                  <c:v>43.213852543400833</c:v>
                </c:pt>
                <c:pt idx="102">
                  <c:v>43.009968201036237</c:v>
                </c:pt>
                <c:pt idx="103">
                  <c:v>42.805906765301856</c:v>
                </c:pt>
                <c:pt idx="104">
                  <c:v>42.601660449381534</c:v>
                </c:pt>
                <c:pt idx="105">
                  <c:v>42.397221151048143</c:v>
                </c:pt>
                <c:pt idx="106">
                  <c:v>42.192580442433695</c:v>
                </c:pt>
                <c:pt idx="107">
                  <c:v>41.987729559716733</c:v>
                </c:pt>
                <c:pt idx="108">
                  <c:v>41.782659392755185</c:v>
                </c:pt>
                <c:pt idx="109">
                  <c:v>41.577360474696675</c:v>
                </c:pt>
                <c:pt idx="110">
                  <c:v>41.371822971600658</c:v>
                </c:pt>
                <c:pt idx="111">
                  <c:v>41.166036672113691</c:v>
                </c:pt>
                <c:pt idx="112">
                  <c:v>40.95999097723989</c:v>
                </c:pt>
                <c:pt idx="113">
                  <c:v>40.753674890256761</c:v>
                </c:pt>
                <c:pt idx="114">
                  <c:v>40.547077006829085</c:v>
                </c:pt>
                <c:pt idx="115">
                  <c:v>40.340185505379942</c:v>
                </c:pt>
                <c:pt idx="116">
                  <c:v>40.132988137783897</c:v>
                </c:pt>
                <c:pt idx="117">
                  <c:v>39.925472220451852</c:v>
                </c:pt>
                <c:pt idx="118">
                  <c:v>39.717624625885051</c:v>
                </c:pt>
                <c:pt idx="119">
                  <c:v>39.509431774780325</c:v>
                </c:pt>
                <c:pt idx="120">
                  <c:v>39.300879628777984</c:v>
                </c:pt>
                <c:pt idx="121">
                  <c:v>39.091953683947274</c:v>
                </c:pt>
                <c:pt idx="122">
                  <c:v>38.882638965114694</c:v>
                </c:pt>
                <c:pt idx="123">
                  <c:v>38.672920021146624</c:v>
                </c:pt>
                <c:pt idx="124">
                  <c:v>38.462780921304955</c:v>
                </c:pt>
                <c:pt idx="125">
                  <c:v>38.252205252802263</c:v>
                </c:pt>
                <c:pt idx="126">
                  <c:v>38.041176119691926</c:v>
                </c:pt>
                <c:pt idx="127">
                  <c:v>37.829676143233826</c:v>
                </c:pt>
                <c:pt idx="128">
                  <c:v>37.617687463887194</c:v>
                </c:pt>
                <c:pt idx="129">
                  <c:v>37.40519174508524</c:v>
                </c:pt>
                <c:pt idx="130">
                  <c:v>37.192170178958108</c:v>
                </c:pt>
                <c:pt idx="131">
                  <c:v>36.978603494173406</c:v>
                </c:pt>
                <c:pt idx="132">
                  <c:v>36.764471966070957</c:v>
                </c:pt>
                <c:pt idx="133">
                  <c:v>36.549755429275173</c:v>
                </c:pt>
                <c:pt idx="134">
                  <c:v>36.334433292970317</c:v>
                </c:pt>
                <c:pt idx="135">
                  <c:v>36.118484559029739</c:v>
                </c:pt>
                <c:pt idx="136">
                  <c:v>35.901887843191169</c:v>
                </c:pt>
                <c:pt idx="137">
                  <c:v>35.684621399471624</c:v>
                </c:pt>
                <c:pt idx="138">
                  <c:v>35.466663148013964</c:v>
                </c:pt>
                <c:pt idx="139">
                  <c:v>35.24799070655601</c:v>
                </c:pt>
                <c:pt idx="140">
                  <c:v>35.028581425706591</c:v>
                </c:pt>
                <c:pt idx="141">
                  <c:v>34.808412428207568</c:v>
                </c:pt>
                <c:pt idx="142">
                  <c:v>34.587460652351581</c:v>
                </c:pt>
                <c:pt idx="143">
                  <c:v>34.365702899710982</c:v>
                </c:pt>
                <c:pt idx="144">
                  <c:v>34.143115887321144</c:v>
                </c:pt>
                <c:pt idx="145">
                  <c:v>33.919676304441666</c:v>
                </c:pt>
                <c:pt idx="146">
                  <c:v>33.695360873997181</c:v>
                </c:pt>
                <c:pt idx="147">
                  <c:v>33.470146418775244</c:v>
                </c:pt>
                <c:pt idx="148">
                  <c:v>33.244009932429897</c:v>
                </c:pt>
                <c:pt idx="149">
                  <c:v>33.016928655306508</c:v>
                </c:pt>
                <c:pt idx="150">
                  <c:v>32.788880155068931</c:v>
                </c:pt>
                <c:pt idx="151">
                  <c:v>32.559842412067098</c:v>
                </c:pt>
                <c:pt idx="152">
                  <c:v>32.329793909344062</c:v>
                </c:pt>
                <c:pt idx="153">
                  <c:v>32.09871372712891</c:v>
                </c:pt>
                <c:pt idx="154">
                  <c:v>31.866581641617209</c:v>
                </c:pt>
                <c:pt idx="155">
                  <c:v>31.633378227781947</c:v>
                </c:pt>
                <c:pt idx="156">
                  <c:v>31.399084965904901</c:v>
                </c:pt>
                <c:pt idx="157">
                  <c:v>31.163684351459516</c:v>
                </c:pt>
                <c:pt idx="158">
                  <c:v>30.92716000791377</c:v>
                </c:pt>
                <c:pt idx="159">
                  <c:v>30.689496801964466</c:v>
                </c:pt>
                <c:pt idx="160">
                  <c:v>30.450680960648878</c:v>
                </c:pt>
                <c:pt idx="161">
                  <c:v>30.21070018972074</c:v>
                </c:pt>
                <c:pt idx="162">
                  <c:v>29.969543792618538</c:v>
                </c:pt>
                <c:pt idx="163">
                  <c:v>29.727202789294253</c:v>
                </c:pt>
                <c:pt idx="164">
                  <c:v>29.483670034119307</c:v>
                </c:pt>
                <c:pt idx="165">
                  <c:v>29.23894033203382</c:v>
                </c:pt>
                <c:pt idx="166">
                  <c:v>28.993010552060454</c:v>
                </c:pt>
                <c:pt idx="167">
                  <c:v>28.745879737267302</c:v>
                </c:pt>
                <c:pt idx="168">
                  <c:v>28.497549210234226</c:v>
                </c:pt>
                <c:pt idx="169">
                  <c:v>28.248022673053551</c:v>
                </c:pt>
                <c:pt idx="170">
                  <c:v>27.997306300885754</c:v>
                </c:pt>
                <c:pt idx="171">
                  <c:v>27.745408828086799</c:v>
                </c:pt>
                <c:pt idx="172">
                  <c:v>27.492341625933587</c:v>
                </c:pt>
                <c:pt idx="173">
                  <c:v>27.238118770991676</c:v>
                </c:pt>
                <c:pt idx="174">
                  <c:v>26.982757103205582</c:v>
                </c:pt>
                <c:pt idx="175">
                  <c:v>26.726276272829381</c:v>
                </c:pt>
                <c:pt idx="176">
                  <c:v>26.468698775377053</c:v>
                </c:pt>
                <c:pt idx="177">
                  <c:v>26.210049973835471</c:v>
                </c:pt>
                <c:pt idx="178">
                  <c:v>25.950358107463675</c:v>
                </c:pt>
                <c:pt idx="179">
                  <c:v>25.689654286591448</c:v>
                </c:pt>
                <c:pt idx="180">
                  <c:v>25.427972472928868</c:v>
                </c:pt>
                <c:pt idx="181">
                  <c:v>25.16534944501046</c:v>
                </c:pt>
                <c:pt idx="182">
                  <c:v>24.901824748510215</c:v>
                </c:pt>
                <c:pt idx="183">
                  <c:v>24.637440631290008</c:v>
                </c:pt>
                <c:pt idx="184">
                  <c:v>24.372241963173327</c:v>
                </c:pt>
                <c:pt idx="185">
                  <c:v>24.106276140563821</c:v>
                </c:pt>
                <c:pt idx="186">
                  <c:v>23.839592976169644</c:v>
                </c:pt>
                <c:pt idx="187">
                  <c:v>23.572244574222978</c:v>
                </c:pt>
                <c:pt idx="188">
                  <c:v>23.304285191721075</c:v>
                </c:pt>
                <c:pt idx="189">
                  <c:v>23.035771086345949</c:v>
                </c:pt>
                <c:pt idx="190">
                  <c:v>22.766760351843441</c:v>
                </c:pt>
                <c:pt idx="191">
                  <c:v>22.497312741765271</c:v>
                </c:pt>
                <c:pt idx="192">
                  <c:v>22.227489482587742</c:v>
                </c:pt>
                <c:pt idx="193">
                  <c:v>21.957353077325426</c:v>
                </c:pt>
                <c:pt idx="194">
                  <c:v>21.686967100850598</c:v>
                </c:pt>
                <c:pt idx="195">
                  <c:v>21.416395988210137</c:v>
                </c:pt>
                <c:pt idx="196">
                  <c:v>21.14570481730189</c:v>
                </c:pt>
                <c:pt idx="197">
                  <c:v>20.874959087328087</c:v>
                </c:pt>
                <c:pt idx="198">
                  <c:v>20.604224494484225</c:v>
                </c:pt>
                <c:pt idx="199">
                  <c:v>20.333566706370817</c:v>
                </c:pt>
                <c:pt idx="200">
                  <c:v>20.063051136627976</c:v>
                </c:pt>
                <c:pt idx="201">
                  <c:v>19.792742721288541</c:v>
                </c:pt>
                <c:pt idx="202">
                  <c:v>19.522705698333166</c:v>
                </c:pt>
                <c:pt idx="203">
                  <c:v>19.253003391892673</c:v>
                </c:pt>
                <c:pt idx="204">
                  <c:v>18.983698002503726</c:v>
                </c:pt>
                <c:pt idx="205">
                  <c:v>18.714850404758732</c:v>
                </c:pt>
                <c:pt idx="206">
                  <c:v>18.446519953621781</c:v>
                </c:pt>
                <c:pt idx="207">
                  <c:v>18.178764300594828</c:v>
                </c:pt>
                <c:pt idx="208">
                  <c:v>17.911639220825229</c:v>
                </c:pt>
                <c:pt idx="209">
                  <c:v>17.645198452137013</c:v>
                </c:pt>
                <c:pt idx="210">
                  <c:v>17.379493546854508</c:v>
                </c:pt>
                <c:pt idx="211">
                  <c:v>17.114573737167781</c:v>
                </c:pt>
                <c:pt idx="212">
                  <c:v>16.850485814656238</c:v>
                </c:pt>
                <c:pt idx="213">
                  <c:v>16.587274024460946</c:v>
                </c:pt>
                <c:pt idx="214">
                  <c:v>16.324979974459012</c:v>
                </c:pt>
                <c:pt idx="215">
                  <c:v>16.06364255965816</c:v>
                </c:pt>
                <c:pt idx="216">
                  <c:v>15.803297901898661</c:v>
                </c:pt>
                <c:pt idx="217">
                  <c:v>15.543979304813947</c:v>
                </c:pt>
                <c:pt idx="218">
                  <c:v>15.285717223878777</c:v>
                </c:pt>
                <c:pt idx="219">
                  <c:v>15.028539251248043</c:v>
                </c:pt>
                <c:pt idx="220">
                  <c:v>14.772470114977697</c:v>
                </c:pt>
                <c:pt idx="221">
                  <c:v>14.517531692110619</c:v>
                </c:pt>
                <c:pt idx="222">
                  <c:v>14.26374303501543</c:v>
                </c:pt>
                <c:pt idx="223">
                  <c:v>14.011120410277725</c:v>
                </c:pt>
                <c:pt idx="224">
                  <c:v>13.759677349368529</c:v>
                </c:pt>
                <c:pt idx="225">
                  <c:v>13.509424710250924</c:v>
                </c:pt>
                <c:pt idx="226">
                  <c:v>13.260370749032548</c:v>
                </c:pt>
                <c:pt idx="227">
                  <c:v>13.012521200732333</c:v>
                </c:pt>
                <c:pt idx="228">
                  <c:v>12.765879368202086</c:v>
                </c:pt>
                <c:pt idx="229">
                  <c:v>12.520446218224546</c:v>
                </c:pt>
                <c:pt idx="230">
                  <c:v>12.276220483807949</c:v>
                </c:pt>
                <c:pt idx="231">
                  <c:v>12.033198771698238</c:v>
                </c:pt>
                <c:pt idx="232">
                  <c:v>11.791375674149823</c:v>
                </c:pt>
                <c:pt idx="233">
                  <c:v>11.550743884016107</c:v>
                </c:pt>
                <c:pt idx="234">
                  <c:v>11.311294312255519</c:v>
                </c:pt>
                <c:pt idx="235">
                  <c:v>11.073016206989852</c:v>
                </c:pt>
                <c:pt idx="236">
                  <c:v>10.835897273294234</c:v>
                </c:pt>
                <c:pt idx="237">
                  <c:v>10.59992379295187</c:v>
                </c:pt>
                <c:pt idx="238">
                  <c:v>10.365080743461597</c:v>
                </c:pt>
                <c:pt idx="239">
                  <c:v>10.131351915641932</c:v>
                </c:pt>
                <c:pt idx="240">
                  <c:v>9.8987200292393354</c:v>
                </c:pt>
                <c:pt idx="241">
                  <c:v>9.6671668460058306</c:v>
                </c:pt>
                <c:pt idx="242">
                  <c:v>9.4366732797758779</c:v>
                </c:pt>
                <c:pt idx="243">
                  <c:v>9.2072195031312347</c:v>
                </c:pt>
                <c:pt idx="244">
                  <c:v>8.97878505030355</c:v>
                </c:pt>
                <c:pt idx="245">
                  <c:v>8.7513489160212821</c:v>
                </c:pt>
                <c:pt idx="246">
                  <c:v>8.5248896500653011</c:v>
                </c:pt>
                <c:pt idx="247">
                  <c:v>8.2993854473473139</c:v>
                </c:pt>
                <c:pt idx="248">
                  <c:v>8.0748142333770172</c:v>
                </c:pt>
                <c:pt idx="249">
                  <c:v>7.8511537450303859</c:v>
                </c:pt>
                <c:pt idx="250">
                  <c:v>7.6283816065711179</c:v>
                </c:pt>
                <c:pt idx="251">
                  <c:v>7.4064754009207148</c:v>
                </c:pt>
                <c:pt idx="252">
                  <c:v>7.1854127362039311</c:v>
                </c:pt>
                <c:pt idx="253">
                  <c:v>6.9651713076288155</c:v>
                </c:pt>
                <c:pt idx="254">
                  <c:v>6.7457289547898558</c:v>
                </c:pt>
                <c:pt idx="255">
                  <c:v>6.5270637145043402</c:v>
                </c:pt>
                <c:pt idx="256">
                  <c:v>6.3091538693145388</c:v>
                </c:pt>
                <c:pt idx="257">
                  <c:v>6.0919779918038417</c:v>
                </c:pt>
                <c:pt idx="258">
                  <c:v>5.8755149848918968</c:v>
                </c:pt>
                <c:pt idx="259">
                  <c:v>5.6597441182816794</c:v>
                </c:pt>
                <c:pt idx="260">
                  <c:v>5.444645061243456</c:v>
                </c:pt>
                <c:pt idx="261">
                  <c:v>5.2301979119240807</c:v>
                </c:pt>
                <c:pt idx="262">
                  <c:v>5.0163832233762706</c:v>
                </c:pt>
                <c:pt idx="263">
                  <c:v>4.8031820265023848</c:v>
                </c:pt>
                <c:pt idx="264">
                  <c:v>4.5905758501095484</c:v>
                </c:pt>
                <c:pt idx="265">
                  <c:v>4.378546738269927</c:v>
                </c:pt>
                <c:pt idx="266">
                  <c:v>4.1670772651783814</c:v>
                </c:pt>
                <c:pt idx="267">
                  <c:v>3.9561505476948762</c:v>
                </c:pt>
                <c:pt idx="268">
                  <c:v>3.7457502557552944</c:v>
                </c:pt>
                <c:pt idx="269">
                  <c:v>3.5358606208272865</c:v>
                </c:pt>
                <c:pt idx="270">
                  <c:v>3.3264664425822716</c:v>
                </c:pt>
                <c:pt idx="271">
                  <c:v>3.1175530939476452</c:v>
                </c:pt>
                <c:pt idx="272">
                  <c:v>2.9091065246960222</c:v>
                </c:pt>
                <c:pt idx="273">
                  <c:v>2.7011132637189155</c:v>
                </c:pt>
                <c:pt idx="274">
                  <c:v>2.493560420128079</c:v>
                </c:pt>
                <c:pt idx="275">
                  <c:v>2.286435683315942</c:v>
                </c:pt>
                <c:pt idx="276">
                  <c:v>2.0797273220995449</c:v>
                </c:pt>
                <c:pt idx="277">
                  <c:v>1.8734241830671803</c:v>
                </c:pt>
                <c:pt idx="278">
                  <c:v>1.6675156882337143</c:v>
                </c:pt>
                <c:pt idx="279">
                  <c:v>1.461991832107514</c:v>
                </c:pt>
                <c:pt idx="280">
                  <c:v>1.256843178261575</c:v>
                </c:pt>
                <c:pt idx="281">
                  <c:v>1.0520608554934179</c:v>
                </c:pt>
                <c:pt idx="282">
                  <c:v>0.84763655365472412</c:v>
                </c:pt>
                <c:pt idx="283">
                  <c:v>0.64356251921768948</c:v>
                </c:pt>
                <c:pt idx="284">
                  <c:v>0.43983155064717216</c:v>
                </c:pt>
                <c:pt idx="285">
                  <c:v>0.23643699363049625</c:v>
                </c:pt>
                <c:pt idx="286">
                  <c:v>3.337273621983318E-2</c:v>
                </c:pt>
                <c:pt idx="287">
                  <c:v>-0.16936679606890476</c:v>
                </c:pt>
                <c:pt idx="288">
                  <c:v>-0.37178664516505477</c:v>
                </c:pt>
                <c:pt idx="289">
                  <c:v>-0.57389132532421194</c:v>
                </c:pt>
                <c:pt idx="290">
                  <c:v>-0.77568482795600335</c:v>
                </c:pt>
                <c:pt idx="291">
                  <c:v>-0.9771706263780251</c:v>
                </c:pt>
                <c:pt idx="292">
                  <c:v>-1.1783516804776597</c:v>
                </c:pt>
                <c:pt idx="293">
                  <c:v>-1.37923044127445</c:v>
                </c:pt>
                <c:pt idx="294">
                  <c:v>-1.579808855373164</c:v>
                </c:pt>
                <c:pt idx="295">
                  <c:v>-1.7800883693105465</c:v>
                </c:pt>
                <c:pt idx="296">
                  <c:v>-1.9800699337976388</c:v>
                </c:pt>
                <c:pt idx="297">
                  <c:v>-2.1797540078657822</c:v>
                </c:pt>
                <c:pt idx="298">
                  <c:v>-2.3791405629318065</c:v>
                </c:pt>
                <c:pt idx="299">
                  <c:v>-2.5782290867972542</c:v>
                </c:pt>
                <c:pt idx="300">
                  <c:v>-2.7770185876055558</c:v>
                </c:pt>
                <c:pt idx="301">
                  <c:v>-2.975507597782709</c:v>
                </c:pt>
                <c:pt idx="302">
                  <c:v>-3.1736941779918109</c:v>
                </c:pt>
                <c:pt idx="303">
                  <c:v>-3.3715759211365892</c:v>
                </c:pt>
                <c:pt idx="304">
                  <c:v>-3.5691499564515401</c:v>
                </c:pt>
                <c:pt idx="305">
                  <c:v>-3.7664129537219933</c:v>
                </c:pt>
                <c:pt idx="306">
                  <c:v>-3.9633611276803804</c:v>
                </c:pt>
                <c:pt idx="307">
                  <c:v>-4.159990242627142</c:v>
                </c:pt>
                <c:pt idx="308">
                  <c:v>-4.3562956173329042</c:v>
                </c:pt>
                <c:pt idx="309">
                  <c:v>-4.5522721302742406</c:v>
                </c:pt>
                <c:pt idx="310">
                  <c:v>-4.7479142252673716</c:v>
                </c:pt>
                <c:pt idx="311">
                  <c:v>-4.9432159175593906</c:v>
                </c:pt>
                <c:pt idx="312">
                  <c:v>-5.1381708004438327</c:v>
                </c:pt>
                <c:pt idx="313">
                  <c:v>-5.3327720524683269</c:v>
                </c:pt>
                <c:pt idx="314">
                  <c:v>-5.5270124453038676</c:v>
                </c:pt>
                <c:pt idx="315">
                  <c:v>-5.7208843523467117</c:v>
                </c:pt>
                <c:pt idx="316">
                  <c:v>-5.9143797581255351</c:v>
                </c:pt>
                <c:pt idx="317">
                  <c:v>-6.1074902685883163</c:v>
                </c:pt>
                <c:pt idx="318">
                  <c:v>-6.3002071223384162</c:v>
                </c:pt>
                <c:pt idx="319">
                  <c:v>-6.4925212028979873</c:v>
                </c:pt>
                <c:pt idx="320">
                  <c:v>-6.6844230520649131</c:v>
                </c:pt>
                <c:pt idx="321">
                  <c:v>-6.8759028844369849</c:v>
                </c:pt>
                <c:pt idx="322">
                  <c:v>-7.0669506031684213</c:v>
                </c:pt>
                <c:pt idx="323">
                  <c:v>-7.2575558170231567</c:v>
                </c:pt>
                <c:pt idx="324">
                  <c:v>-7.447707858785285</c:v>
                </c:pt>
                <c:pt idx="325">
                  <c:v>-7.6373958050805593</c:v>
                </c:pt>
                <c:pt idx="326">
                  <c:v>-7.8266084976580341</c:v>
                </c:pt>
                <c:pt idx="327">
                  <c:v>-8.0153345661758699</c:v>
                </c:pt>
                <c:pt idx="328">
                  <c:v>-8.2035624525240465</c:v>
                </c:pt>
                <c:pt idx="329">
                  <c:v>-8.3912804367126022</c:v>
                </c:pt>
                <c:pt idx="330">
                  <c:v>-8.5784766643429258</c:v>
                </c:pt>
                <c:pt idx="331">
                  <c:v>-8.7651391756706047</c:v>
                </c:pt>
                <c:pt idx="332">
                  <c:v>-8.9512559362576862</c:v>
                </c:pt>
                <c:pt idx="333">
                  <c:v>-9.1368148692030076</c:v>
                </c:pt>
                <c:pt idx="334">
                  <c:v>-9.3218038889274517</c:v>
                </c:pt>
                <c:pt idx="335">
                  <c:v>-9.5062109364794942</c:v>
                </c:pt>
                <c:pt idx="336">
                  <c:v>-9.6900240163159452</c:v>
                </c:pt>
                <c:pt idx="337">
                  <c:v>-9.873231234503093</c:v>
                </c:pt>
                <c:pt idx="338">
                  <c:v>-10.05582083827025</c:v>
                </c:pt>
                <c:pt idx="339">
                  <c:v>-10.23778125683984</c:v>
                </c:pt>
                <c:pt idx="340">
                  <c:v>-10.41910114344855</c:v>
                </c:pt>
                <c:pt idx="341">
                  <c:v>-10.599769418464781</c:v>
                </c:pt>
                <c:pt idx="342">
                  <c:v>-10.779775313501315</c:v>
                </c:pt>
                <c:pt idx="343">
                  <c:v>-10.959108416415432</c:v>
                </c:pt>
                <c:pt idx="344">
                  <c:v>-11.137758717084171</c:v>
                </c:pt>
                <c:pt idx="345">
                  <c:v>-11.315716653838919</c:v>
                </c:pt>
                <c:pt idx="346">
                  <c:v>-11.492973160441348</c:v>
                </c:pt>
                <c:pt idx="347">
                  <c:v>-11.669519713481137</c:v>
                </c:pt>
                <c:pt idx="348">
                  <c:v>-11.845348380078534</c:v>
                </c:pt>
                <c:pt idx="349">
                  <c:v>-12.020451865774302</c:v>
                </c:pt>
                <c:pt idx="350">
                  <c:v>-12.194823562492385</c:v>
                </c:pt>
                <c:pt idx="351">
                  <c:v>-12.368457596464385</c:v>
                </c:pt>
                <c:pt idx="352">
                  <c:v>-12.54134887600685</c:v>
                </c:pt>
                <c:pt idx="353">
                  <c:v>-12.713493139046513</c:v>
                </c:pt>
                <c:pt idx="354">
                  <c:v>-12.884887000289339</c:v>
                </c:pt>
                <c:pt idx="355">
                  <c:v>-13.055527997931893</c:v>
                </c:pt>
                <c:pt idx="356">
                  <c:v>-13.225414639810875</c:v>
                </c:pt>
                <c:pt idx="357">
                  <c:v>-13.394546448886375</c:v>
                </c:pt>
                <c:pt idx="358">
                  <c:v>-13.56292400794684</c:v>
                </c:pt>
                <c:pt idx="359">
                  <c:v>-13.730549003416311</c:v>
                </c:pt>
                <c:pt idx="360">
                  <c:v>-13.897424268133658</c:v>
                </c:pt>
                <c:pt idx="361">
                  <c:v>-14.063553822956754</c:v>
                </c:pt>
                <c:pt idx="362">
                  <c:v>-14.228942917026776</c:v>
                </c:pt>
                <c:pt idx="363">
                  <c:v>-14.393598066506307</c:v>
                </c:pt>
                <c:pt idx="364">
                  <c:v>-14.557527091577033</c:v>
                </c:pt>
                <c:pt idx="365">
                  <c:v>-14.72073915145727</c:v>
                </c:pt>
                <c:pt idx="366">
                  <c:v>-14.883244777166</c:v>
                </c:pt>
                <c:pt idx="367">
                  <c:v>-15.04505590173013</c:v>
                </c:pt>
                <c:pt idx="368">
                  <c:v>-15.206185887497085</c:v>
                </c:pt>
                <c:pt idx="369">
                  <c:v>-15.366649550182068</c:v>
                </c:pt>
                <c:pt idx="370">
                  <c:v>-15.526463179250312</c:v>
                </c:pt>
                <c:pt idx="371">
                  <c:v>-15.685644554204874</c:v>
                </c:pt>
                <c:pt idx="372">
                  <c:v>-15.844212956326274</c:v>
                </c:pt>
                <c:pt idx="373">
                  <c:v>-16.002189175395728</c:v>
                </c:pt>
                <c:pt idx="374">
                  <c:v>-16.159595510917896</c:v>
                </c:pt>
                <c:pt idx="375">
                  <c:v>-16.316455767359866</c:v>
                </c:pt>
                <c:pt idx="376">
                  <c:v>-16.472795242930271</c:v>
                </c:pt>
                <c:pt idx="377">
                  <c:v>-16.628640711435288</c:v>
                </c:pt>
                <c:pt idx="378">
                  <c:v>-16.784020396782612</c:v>
                </c:pt>
                <c:pt idx="379">
                  <c:v>-16.938963939738777</c:v>
                </c:pt>
                <c:pt idx="380">
                  <c:v>-17.093502356602073</c:v>
                </c:pt>
                <c:pt idx="381">
                  <c:v>-17.247667989511598</c:v>
                </c:pt>
                <c:pt idx="382">
                  <c:v>-17.401494448192391</c:v>
                </c:pt>
                <c:pt idx="383">
                  <c:v>-17.555016543016933</c:v>
                </c:pt>
                <c:pt idx="384">
                  <c:v>-17.708270209362936</c:v>
                </c:pt>
                <c:pt idx="385">
                  <c:v>-17.861292423341656</c:v>
                </c:pt>
                <c:pt idx="386">
                  <c:v>-18.014121109087803</c:v>
                </c:pt>
                <c:pt idx="387">
                  <c:v>-18.166795037906745</c:v>
                </c:pt>
                <c:pt idx="388">
                  <c:v>-18.319353719691222</c:v>
                </c:pt>
                <c:pt idx="389">
                  <c:v>-18.471837287136402</c:v>
                </c:pt>
                <c:pt idx="390">
                  <c:v>-18.624286373386049</c:v>
                </c:pt>
                <c:pt idx="391">
                  <c:v>-18.776741983854279</c:v>
                </c:pt>
                <c:pt idx="392">
                  <c:v>-18.929245363061465</c:v>
                </c:pt>
                <c:pt idx="393">
                  <c:v>-19.081837857413454</c:v>
                </c:pt>
                <c:pt idx="394">
                  <c:v>-19.234560774927829</c:v>
                </c:pt>
                <c:pt idx="395">
                  <c:v>-19.387455242974973</c:v>
                </c:pt>
                <c:pt idx="396">
                  <c:v>-19.540562065150318</c:v>
                </c:pt>
                <c:pt idx="397">
                  <c:v>-19.693921578423733</c:v>
                </c:pt>
                <c:pt idx="398">
                  <c:v>-19.847573511729465</c:v>
                </c:pt>
                <c:pt idx="399">
                  <c:v>-20.00155684715665</c:v>
                </c:pt>
                <c:pt idx="400">
                  <c:v>-20.155909684878811</c:v>
                </c:pt>
                <c:pt idx="401">
                  <c:v>-20.310669112928185</c:v>
                </c:pt>
                <c:pt idx="402">
                  <c:v>-20.465871082863405</c:v>
                </c:pt>
                <c:pt idx="403">
                  <c:v>-20.621550292313749</c:v>
                </c:pt>
                <c:pt idx="404">
                  <c:v>-20.7777400753004</c:v>
                </c:pt>
                <c:pt idx="405">
                  <c:v>-20.934472301141472</c:v>
                </c:pt>
                <c:pt idx="406">
                  <c:v>-21.091777282644905</c:v>
                </c:pt>
                <c:pt idx="407">
                  <c:v>-21.249683694178458</c:v>
                </c:pt>
                <c:pt idx="408">
                  <c:v>-21.408218500092016</c:v>
                </c:pt>
                <c:pt idx="409">
                  <c:v>-21.567406893843675</c:v>
                </c:pt>
                <c:pt idx="410">
                  <c:v>-21.727272248058615</c:v>
                </c:pt>
                <c:pt idx="411">
                  <c:v>-21.887836075628464</c:v>
                </c:pt>
                <c:pt idx="412">
                  <c:v>-22.049118001839226</c:v>
                </c:pt>
                <c:pt idx="413">
                  <c:v>-22.211135747401052</c:v>
                </c:pt>
                <c:pt idx="414">
                  <c:v>-22.373905122146347</c:v>
                </c:pt>
                <c:pt idx="415">
                  <c:v>-22.537440029060267</c:v>
                </c:pt>
                <c:pt idx="416">
                  <c:v>-22.701752478220001</c:v>
                </c:pt>
                <c:pt idx="417">
                  <c:v>-22.86685261013438</c:v>
                </c:pt>
                <c:pt idx="418">
                  <c:v>-23.032748727909684</c:v>
                </c:pt>
                <c:pt idx="419">
                  <c:v>-23.199447337605747</c:v>
                </c:pt>
                <c:pt idx="420">
                  <c:v>-23.366953196099587</c:v>
                </c:pt>
                <c:pt idx="421">
                  <c:v>-23.53526936574195</c:v>
                </c:pt>
                <c:pt idx="422">
                  <c:v>-23.704397275061325</c:v>
                </c:pt>
                <c:pt idx="423">
                  <c:v>-23.874336784763642</c:v>
                </c:pt>
                <c:pt idx="424">
                  <c:v>-24.045086258268078</c:v>
                </c:pt>
                <c:pt idx="425">
                  <c:v>-24.216642636026663</c:v>
                </c:pt>
                <c:pt idx="426">
                  <c:v>-24.389001512892218</c:v>
                </c:pt>
                <c:pt idx="427">
                  <c:v>-24.56215721781847</c:v>
                </c:pt>
                <c:pt idx="428">
                  <c:v>-24.736102895209662</c:v>
                </c:pt>
                <c:pt idx="429">
                  <c:v>-24.910830587268151</c:v>
                </c:pt>
                <c:pt idx="430">
                  <c:v>-25.086331316730185</c:v>
                </c:pt>
                <c:pt idx="431">
                  <c:v>-25.262595169424969</c:v>
                </c:pt>
                <c:pt idx="432">
                  <c:v>-25.439611376133424</c:v>
                </c:pt>
                <c:pt idx="433">
                  <c:v>-25.617368393276301</c:v>
                </c:pt>
                <c:pt idx="434">
                  <c:v>-25.795853982007255</c:v>
                </c:pt>
                <c:pt idx="435">
                  <c:v>-25.975055285335799</c:v>
                </c:pt>
                <c:pt idx="436">
                  <c:v>-26.154958902953179</c:v>
                </c:pt>
                <c:pt idx="437">
                  <c:v>-26.335550963484561</c:v>
                </c:pt>
                <c:pt idx="438">
                  <c:v>-26.516817193931573</c:v>
                </c:pt>
                <c:pt idx="439">
                  <c:v>-26.698742986118358</c:v>
                </c:pt>
                <c:pt idx="440">
                  <c:v>-26.881313459991848</c:v>
                </c:pt>
                <c:pt idx="441">
                  <c:v>-27.064513523667664</c:v>
                </c:pt>
                <c:pt idx="442">
                  <c:v>-27.248327930148598</c:v>
                </c:pt>
                <c:pt idx="443">
                  <c:v>-27.432741330674503</c:v>
                </c:pt>
                <c:pt idx="444">
                  <c:v>-27.617738324694212</c:v>
                </c:pt>
                <c:pt idx="445">
                  <c:v>-27.803303506474904</c:v>
                </c:pt>
                <c:pt idx="446">
                  <c:v>-27.989421508390357</c:v>
                </c:pt>
                <c:pt idx="447">
                  <c:v>-28.176077040947586</c:v>
                </c:pt>
                <c:pt idx="448">
                  <c:v>-28.36325492963255</c:v>
                </c:pt>
                <c:pt idx="449">
                  <c:v>-28.550940148669</c:v>
                </c:pt>
                <c:pt idx="450">
                  <c:v>-28.739117851797701</c:v>
                </c:pt>
                <c:pt idx="451">
                  <c:v>-28.92777340019386</c:v>
                </c:pt>
                <c:pt idx="452">
                  <c:v>-29.116892387649603</c:v>
                </c:pt>
                <c:pt idx="453">
                  <c:v>-29.306460663153505</c:v>
                </c:pt>
                <c:pt idx="454">
                  <c:v>-29.496464351003638</c:v>
                </c:pt>
                <c:pt idx="455">
                  <c:v>-29.686889868594907</c:v>
                </c:pt>
                <c:pt idx="456">
                  <c:v>-29.877723942020531</c:v>
                </c:pt>
                <c:pt idx="457">
                  <c:v>-30.068953619629688</c:v>
                </c:pt>
                <c:pt idx="458">
                  <c:v>-30.260566283681204</c:v>
                </c:pt>
                <c:pt idx="459">
                  <c:v>-30.452549660230353</c:v>
                </c:pt>
                <c:pt idx="460">
                  <c:v>-30.644891827385898</c:v>
                </c:pt>
                <c:pt idx="461">
                  <c:v>-30.837581222066266</c:v>
                </c:pt>
                <c:pt idx="462">
                  <c:v>-31.030606645385227</c:v>
                </c:pt>
                <c:pt idx="463">
                  <c:v>-31.223957266788371</c:v>
                </c:pt>
                <c:pt idx="464">
                  <c:v>-31.417622627058499</c:v>
                </c:pt>
                <c:pt idx="465">
                  <c:v>-31.611592640304092</c:v>
                </c:pt>
                <c:pt idx="466">
                  <c:v>-31.805857595036731</c:v>
                </c:pt>
                <c:pt idx="467">
                  <c:v>-32.000408154442482</c:v>
                </c:pt>
                <c:pt idx="468">
                  <c:v>-32.195235355941044</c:v>
                </c:pt>
                <c:pt idx="469">
                  <c:v>-32.390330610126142</c:v>
                </c:pt>
                <c:pt idx="470">
                  <c:v>-32.58568569917319</c:v>
                </c:pt>
                <c:pt idx="471">
                  <c:v>-32.781292774793862</c:v>
                </c:pt>
                <c:pt idx="472">
                  <c:v>-32.977144355815163</c:v>
                </c:pt>
                <c:pt idx="473">
                  <c:v>-33.173233325451989</c:v>
                </c:pt>
                <c:pt idx="474">
                  <c:v>-33.369552928341278</c:v>
                </c:pt>
                <c:pt idx="475">
                  <c:v>-33.566096767396381</c:v>
                </c:pt>
                <c:pt idx="476">
                  <c:v>-33.762858800543249</c:v>
                </c:pt>
                <c:pt idx="477">
                  <c:v>-33.959833337386407</c:v>
                </c:pt>
                <c:pt idx="478">
                  <c:v>-34.157015035858024</c:v>
                </c:pt>
                <c:pt idx="479">
                  <c:v>-34.354398898893088</c:v>
                </c:pt>
                <c:pt idx="480">
                  <c:v>-34.551980271174209</c:v>
                </c:pt>
                <c:pt idx="481">
                  <c:v>-34.749754835982934</c:v>
                </c:pt>
                <c:pt idx="482">
                  <c:v>-34.947718612196248</c:v>
                </c:pt>
                <c:pt idx="483">
                  <c:v>-35.145867951458143</c:v>
                </c:pt>
                <c:pt idx="484">
                  <c:v>-35.344199535558069</c:v>
                </c:pt>
                <c:pt idx="485">
                  <c:v>-35.542710374044859</c:v>
                </c:pt>
                <c:pt idx="486">
                  <c:v>-35.74139780210033</c:v>
                </c:pt>
                <c:pt idx="487">
                  <c:v>-35.94025947869693</c:v>
                </c:pt>
                <c:pt idx="488">
                  <c:v>-36.139293385060967</c:v>
                </c:pt>
                <c:pt idx="489">
                  <c:v>-36.338497823462752</c:v>
                </c:pt>
                <c:pt idx="490">
                  <c:v>-36.537871416348651</c:v>
                </c:pt>
                <c:pt idx="491">
                  <c:v>-36.737413105836694</c:v>
                </c:pt>
                <c:pt idx="492">
                  <c:v>-36.93712215358741</c:v>
                </c:pt>
                <c:pt idx="493">
                  <c:v>-37.136998141066393</c:v>
                </c:pt>
                <c:pt idx="494">
                  <c:v>-37.337040970211149</c:v>
                </c:pt>
                <c:pt idx="495">
                  <c:v>-37.53725086451535</c:v>
                </c:pt>
                <c:pt idx="496">
                  <c:v>-37.737628370539689</c:v>
                </c:pt>
                <c:pt idx="497">
                  <c:v>-37.938174359863467</c:v>
                </c:pt>
                <c:pt idx="498">
                  <c:v>-38.138890031482063</c:v>
                </c:pt>
                <c:pt idx="499">
                  <c:v>-38.339776914662835</c:v>
                </c:pt>
                <c:pt idx="500">
                  <c:v>-38.540836872265601</c:v>
                </c:pt>
                <c:pt idx="501">
                  <c:v>-38.742072104535168</c:v>
                </c:pt>
                <c:pt idx="502">
                  <c:v>-38.94348515337385</c:v>
                </c:pt>
                <c:pt idx="503">
                  <c:v>-39.145078907097925</c:v>
                </c:pt>
                <c:pt idx="504">
                  <c:v>-39.34685660568497</c:v>
                </c:pt>
                <c:pt idx="505">
                  <c:v>-39.548821846515963</c:v>
                </c:pt>
                <c:pt idx="506">
                  <c:v>-39.750978590615162</c:v>
                </c:pt>
                <c:pt idx="507">
                  <c:v>-39.953331169392058</c:v>
                </c:pt>
                <c:pt idx="508">
                  <c:v>-40.15588429188643</c:v>
                </c:pt>
                <c:pt idx="509">
                  <c:v>-40.358643052517856</c:v>
                </c:pt>
                <c:pt idx="510">
                  <c:v>-40.56161293933976</c:v>
                </c:pt>
                <c:pt idx="511">
                  <c:v>-40.764799842796684</c:v>
                </c:pt>
                <c:pt idx="512">
                  <c:v>-40.96821006498346</c:v>
                </c:pt>
                <c:pt idx="513">
                  <c:v>-41.171850329401316</c:v>
                </c:pt>
                <c:pt idx="514">
                  <c:v>-41.375727791207069</c:v>
                </c:pt>
                <c:pt idx="515">
                  <c:v>-41.579850047947566</c:v>
                </c:pt>
                <c:pt idx="516">
                  <c:v>-41.78422515077208</c:v>
                </c:pt>
                <c:pt idx="517">
                  <c:v>-41.988861616110775</c:v>
                </c:pt>
                <c:pt idx="518">
                  <c:v>-42.193768437808558</c:v>
                </c:pt>
                <c:pt idx="519">
                  <c:v>-42.398955099697027</c:v>
                </c:pt>
                <c:pt idx="520">
                  <c:v>-42.604431588588831</c:v>
                </c:pt>
                <c:pt idx="521">
                  <c:v>-42.810208407673159</c:v>
                </c:pt>
                <c:pt idx="522">
                  <c:v>-43.016296590289159</c:v>
                </c:pt>
                <c:pt idx="523">
                  <c:v>-43.222707714050053</c:v>
                </c:pt>
                <c:pt idx="524">
                  <c:v>-43.42945391528815</c:v>
                </c:pt>
                <c:pt idx="525">
                  <c:v>-43.636547903786848</c:v>
                </c:pt>
                <c:pt idx="526">
                  <c:v>-43.844002977758691</c:v>
                </c:pt>
                <c:pt idx="527">
                  <c:v>-44.05183303902966</c:v>
                </c:pt>
                <c:pt idx="528">
                  <c:v>-44.260052608379581</c:v>
                </c:pt>
                <c:pt idx="529">
                  <c:v>-44.468676840985964</c:v>
                </c:pt>
                <c:pt idx="530">
                  <c:v>-44.677721541912845</c:v>
                </c:pt>
                <c:pt idx="531">
                  <c:v>-44.887203181580702</c:v>
                </c:pt>
                <c:pt idx="532">
                  <c:v>-45.097138911144626</c:v>
                </c:pt>
                <c:pt idx="533">
                  <c:v>-45.307546577706063</c:v>
                </c:pt>
                <c:pt idx="534">
                  <c:v>-45.51844473927239</c:v>
                </c:pt>
                <c:pt idx="535">
                  <c:v>-45.729852679373259</c:v>
                </c:pt>
                <c:pt idx="536">
                  <c:v>-45.941790421234742</c:v>
                </c:pt>
                <c:pt idx="537">
                  <c:v>-46.154278741405818</c:v>
                </c:pt>
                <c:pt idx="538">
                  <c:v>-46.367339182721032</c:v>
                </c:pt>
                <c:pt idx="539">
                  <c:v>-46.580994066478169</c:v>
                </c:pt>
                <c:pt idx="540">
                  <c:v>-46.795266503699239</c:v>
                </c:pt>
                <c:pt idx="541">
                  <c:v>-47.010180405335198</c:v>
                </c:pt>
              </c:numCache>
            </c:numRef>
          </c:yVal>
          <c:smooth val="1"/>
          <c:extLst>
            <c:ext xmlns:c16="http://schemas.microsoft.com/office/drawing/2014/chart" uri="{C3380CC4-5D6E-409C-BE32-E72D297353CC}">
              <c16:uniqueId val="{00000000-ECAC-4E20-B866-0DB1B3DE6FE8}"/>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ECAC-4E20-B866-0DB1B3DE6FE8}"/>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ECAC-4E20-B866-0DB1B3DE6FE8}"/>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657.51003101049753</c:v>
                </c:pt>
              </c:numCache>
            </c:numRef>
          </c:xVal>
          <c:yVal>
            <c:numRef>
              <c:f>Loop_Modeling!$BL$11</c:f>
              <c:numCache>
                <c:formatCode>General</c:formatCode>
                <c:ptCount val="1"/>
                <c:pt idx="0">
                  <c:v>25.220513795842784</c:v>
                </c:pt>
              </c:numCache>
            </c:numRef>
          </c:yVal>
          <c:smooth val="0"/>
          <c:extLst>
            <c:ext xmlns:c16="http://schemas.microsoft.com/office/drawing/2014/chart" uri="{C3380CC4-5D6E-409C-BE32-E72D297353CC}">
              <c16:uniqueId val="{00000002-ECAC-4E20-B866-0DB1B3DE6FE8}"/>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ECAC-4E20-B866-0DB1B3DE6FE8}"/>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72756.545413437867</c:v>
                </c:pt>
              </c:numCache>
            </c:numRef>
          </c:xVal>
          <c:yVal>
            <c:numRef>
              <c:f>Loop_Modeling!$BL$9</c:f>
              <c:numCache>
                <c:formatCode>General</c:formatCode>
                <c:ptCount val="1"/>
                <c:pt idx="0">
                  <c:v>-17.889916589610564</c:v>
                </c:pt>
              </c:numCache>
            </c:numRef>
          </c:yVal>
          <c:smooth val="1"/>
          <c:extLst>
            <c:ext xmlns:c16="http://schemas.microsoft.com/office/drawing/2014/chart" uri="{C3380CC4-5D6E-409C-BE32-E72D297353CC}">
              <c16:uniqueId val="{00000004-ECAC-4E20-B866-0DB1B3DE6FE8}"/>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ECAC-4E20-B866-0DB1B3DE6FE8}"/>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ECAC-4E20-B866-0DB1B3DE6FE8}"/>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42328.442311674291</c:v>
                </c:pt>
              </c:numCache>
            </c:numRef>
          </c:xVal>
          <c:yVal>
            <c:numRef>
              <c:f>Loop_Modeling!$BL$10</c:f>
              <c:numCache>
                <c:formatCode>General</c:formatCode>
                <c:ptCount val="1"/>
                <c:pt idx="0">
                  <c:v>-14.173326928590305</c:v>
                </c:pt>
              </c:numCache>
            </c:numRef>
          </c:yVal>
          <c:smooth val="1"/>
          <c:extLst>
            <c:ext xmlns:c16="http://schemas.microsoft.com/office/drawing/2014/chart" uri="{C3380CC4-5D6E-409C-BE32-E72D297353CC}">
              <c16:uniqueId val="{00000006-ECAC-4E20-B866-0DB1B3DE6FE8}"/>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US"/>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ECAC-4E20-B866-0DB1B3DE6FE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1377.9648752545049</c:v>
                </c:pt>
              </c:numCache>
            </c:numRef>
          </c:xVal>
          <c:yVal>
            <c:numRef>
              <c:f>Loop_Modeling!$BL$12</c:f>
              <c:numCache>
                <c:formatCode>General</c:formatCode>
                <c:ptCount val="1"/>
                <c:pt idx="0">
                  <c:v>16.607295095956811</c:v>
                </c:pt>
              </c:numCache>
            </c:numRef>
          </c:yVal>
          <c:smooth val="1"/>
          <c:extLst>
            <c:ext xmlns:c16="http://schemas.microsoft.com/office/drawing/2014/chart" uri="{C3380CC4-5D6E-409C-BE32-E72D297353CC}">
              <c16:uniqueId val="{00000008-ECAC-4E20-B866-0DB1B3DE6FE8}"/>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ECAC-4E20-B866-0DB1B3DE6FE8}"/>
                </c:ext>
              </c:extLst>
            </c:dLbl>
            <c:spPr>
              <a:noFill/>
              <a:ln>
                <a:noFill/>
              </a:ln>
              <a:effectLst/>
            </c:spPr>
            <c:txPr>
              <a:bodyPr/>
              <a:lstStyle/>
              <a:p>
                <a:pPr>
                  <a:defRPr b="1"/>
                </a:pPr>
                <a:endParaRPr lang="en-US"/>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46850.80575865318</c:v>
                </c:pt>
              </c:numCache>
            </c:numRef>
          </c:xVal>
          <c:yVal>
            <c:numRef>
              <c:f>Loop_Modeling!$BL$13</c:f>
              <c:numCache>
                <c:formatCode>General</c:formatCode>
                <c:ptCount val="1"/>
                <c:pt idx="0">
                  <c:v>-14.894870641753137</c:v>
                </c:pt>
              </c:numCache>
            </c:numRef>
          </c:yVal>
          <c:smooth val="1"/>
          <c:extLst>
            <c:ext xmlns:c16="http://schemas.microsoft.com/office/drawing/2014/chart" uri="{C3380CC4-5D6E-409C-BE32-E72D297353CC}">
              <c16:uniqueId val="{0000000A-ECAC-4E20-B866-0DB1B3DE6FE8}"/>
            </c:ext>
          </c:extLst>
        </c:ser>
        <c:dLbls>
          <c:showLegendKey val="0"/>
          <c:showVal val="0"/>
          <c:showCatName val="0"/>
          <c:showSerName val="0"/>
          <c:showPercent val="0"/>
          <c:showBubbleSize val="0"/>
        </c:dLbls>
        <c:axId val="357835904"/>
        <c:axId val="36447705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89.521730717765564</c:v>
                </c:pt>
                <c:pt idx="1">
                  <c:v>89.510593488848329</c:v>
                </c:pt>
                <c:pt idx="2">
                  <c:v>89.499197061758181</c:v>
                </c:pt>
                <c:pt idx="3">
                  <c:v>89.487535414808974</c:v>
                </c:pt>
                <c:pt idx="4">
                  <c:v>89.475602387181809</c:v>
                </c:pt>
                <c:pt idx="5">
                  <c:v>89.463391675764868</c:v>
                </c:pt>
                <c:pt idx="6">
                  <c:v>89.450896831925647</c:v>
                </c:pt>
                <c:pt idx="7">
                  <c:v>89.438111258213894</c:v>
                </c:pt>
                <c:pt idx="8">
                  <c:v>89.425028204994618</c:v>
                </c:pt>
                <c:pt idx="9">
                  <c:v>89.411640767009501</c:v>
                </c:pt>
                <c:pt idx="10">
                  <c:v>89.397941879866039</c:v>
                </c:pt>
                <c:pt idx="11">
                  <c:v>89.38392431645299</c:v>
                </c:pt>
                <c:pt idx="12">
                  <c:v>89.369580683280773</c:v>
                </c:pt>
                <c:pt idx="13">
                  <c:v>89.35490341674641</c:v>
                </c:pt>
                <c:pt idx="14">
                  <c:v>89.339884779321125</c:v>
                </c:pt>
                <c:pt idx="15">
                  <c:v>89.324516855659837</c:v>
                </c:pt>
                <c:pt idx="16">
                  <c:v>89.308791548631817</c:v>
                </c:pt>
                <c:pt idx="17">
                  <c:v>89.292700575270757</c:v>
                </c:pt>
                <c:pt idx="18">
                  <c:v>89.276235462644053</c:v>
                </c:pt>
                <c:pt idx="19">
                  <c:v>89.259387543639576</c:v>
                </c:pt>
                <c:pt idx="20">
                  <c:v>89.242147952669796</c:v>
                </c:pt>
                <c:pt idx="21">
                  <c:v>89.224507621291664</c:v>
                </c:pt>
                <c:pt idx="22">
                  <c:v>89.206457273742075</c:v>
                </c:pt>
                <c:pt idx="23">
                  <c:v>89.187987422387579</c:v>
                </c:pt>
                <c:pt idx="24">
                  <c:v>89.169088363088306</c:v>
                </c:pt>
                <c:pt idx="25">
                  <c:v>89.149750170474846</c:v>
                </c:pt>
                <c:pt idx="26">
                  <c:v>89.129962693138268</c:v>
                </c:pt>
                <c:pt idx="27">
                  <c:v>89.109715548731984</c:v>
                </c:pt>
                <c:pt idx="28">
                  <c:v>89.088998118986268</c:v>
                </c:pt>
                <c:pt idx="29">
                  <c:v>89.067799544634056</c:v>
                </c:pt>
                <c:pt idx="30">
                  <c:v>89.046108720248924</c:v>
                </c:pt>
                <c:pt idx="31">
                  <c:v>89.023914288994661</c:v>
                </c:pt>
                <c:pt idx="32">
                  <c:v>89.001204637287103</c:v>
                </c:pt>
                <c:pt idx="33">
                  <c:v>88.977967889368145</c:v>
                </c:pt>
                <c:pt idx="34">
                  <c:v>88.95419190179301</c:v>
                </c:pt>
                <c:pt idx="35">
                  <c:v>88.929864257831127</c:v>
                </c:pt>
                <c:pt idx="36">
                  <c:v>88.904972261781779</c:v>
                </c:pt>
                <c:pt idx="37">
                  <c:v>88.879502933205671</c:v>
                </c:pt>
                <c:pt idx="38">
                  <c:v>88.853443001073742</c:v>
                </c:pt>
                <c:pt idx="39">
                  <c:v>88.826778897835425</c:v>
                </c:pt>
                <c:pt idx="40">
                  <c:v>88.799496753407567</c:v>
                </c:pt>
                <c:pt idx="41">
                  <c:v>88.771582389087214</c:v>
                </c:pt>
                <c:pt idx="42">
                  <c:v>88.743021311390024</c:v>
                </c:pt>
                <c:pt idx="43">
                  <c:v>88.713798705818434</c:v>
                </c:pt>
                <c:pt idx="44">
                  <c:v>88.683899430562079</c:v>
                </c:pt>
                <c:pt idx="45">
                  <c:v>88.653308010134722</c:v>
                </c:pt>
                <c:pt idx="46">
                  <c:v>88.622008628952258</c:v>
                </c:pt>
                <c:pt idx="47">
                  <c:v>88.589985124856241</c:v>
                </c:pt>
                <c:pt idx="48">
                  <c:v>88.557220982588774</c:v>
                </c:pt>
                <c:pt idx="49">
                  <c:v>88.52369932722425</c:v>
                </c:pt>
                <c:pt idx="50">
                  <c:v>88.489402917565016</c:v>
                </c:pt>
                <c:pt idx="51">
                  <c:v>88.454314139508</c:v>
                </c:pt>
                <c:pt idx="52">
                  <c:v>88.418414999390436</c:v>
                </c:pt>
                <c:pt idx="53">
                  <c:v>88.381687117323182</c:v>
                </c:pt>
                <c:pt idx="54">
                  <c:v>88.34411172052188</c:v>
                </c:pt>
                <c:pt idx="55">
                  <c:v>88.305669636645959</c:v>
                </c:pt>
                <c:pt idx="56">
                  <c:v>88.266341287156934</c:v>
                </c:pt>
                <c:pt idx="57">
                  <c:v>88.226106680708995</c:v>
                </c:pt>
                <c:pt idx="58">
                  <c:v>88.184945406585172</c:v>
                </c:pt>
                <c:pt idx="59">
                  <c:v>88.142836628193848</c:v>
                </c:pt>
                <c:pt idx="60">
                  <c:v>88.09975907664186</c:v>
                </c:pt>
                <c:pt idx="61">
                  <c:v>88.055691044401769</c:v>
                </c:pt>
                <c:pt idx="62">
                  <c:v>88.010610379091517</c:v>
                </c:pt>
                <c:pt idx="63">
                  <c:v>87.964494477387774</c:v>
                </c:pt>
                <c:pt idx="64">
                  <c:v>87.917320279094298</c:v>
                </c:pt>
                <c:pt idx="65">
                  <c:v>87.869064261389667</c:v>
                </c:pt>
                <c:pt idx="66">
                  <c:v>87.819702433279673</c:v>
                </c:pt>
                <c:pt idx="67">
                  <c:v>87.769210330282334</c:v>
                </c:pt>
                <c:pt idx="68">
                  <c:v>87.717563009375269</c:v>
                </c:pt>
                <c:pt idx="69">
                  <c:v>87.664735044237602</c:v>
                </c:pt>
                <c:pt idx="70">
                  <c:v>87.6107005208206</c:v>
                </c:pt>
                <c:pt idx="71">
                  <c:v>87.555433033284757</c:v>
                </c:pt>
                <c:pt idx="72">
                  <c:v>87.498905680342375</c:v>
                </c:pt>
                <c:pt idx="73">
                  <c:v>87.441091062048883</c:v>
                </c:pt>
                <c:pt idx="74">
                  <c:v>87.381961277088166</c:v>
                </c:pt>
                <c:pt idx="75">
                  <c:v>87.321487920601754</c:v>
                </c:pt>
                <c:pt idx="76">
                  <c:v>87.259642082612956</c:v>
                </c:pt>
                <c:pt idx="77">
                  <c:v>87.19639434710372</c:v>
                </c:pt>
                <c:pt idx="78">
                  <c:v>87.131714791802551</c:v>
                </c:pt>
                <c:pt idx="79">
                  <c:v>87.065572988748983</c:v>
                </c:pt>
                <c:pt idx="80">
                  <c:v>86.9979380057014</c:v>
                </c:pt>
                <c:pt idx="81">
                  <c:v>86.928778408462961</c:v>
                </c:pt>
                <c:pt idx="82">
                  <c:v>86.858062264201251</c:v>
                </c:pt>
                <c:pt idx="83">
                  <c:v>86.785757145845736</c:v>
                </c:pt>
                <c:pt idx="84">
                  <c:v>86.71183013765102</c:v>
                </c:pt>
                <c:pt idx="85">
                  <c:v>86.636247842017795</c:v>
                </c:pt>
                <c:pt idx="86">
                  <c:v>86.558976387672999</c:v>
                </c:pt>
                <c:pt idx="87">
                  <c:v>86.479981439312667</c:v>
                </c:pt>
                <c:pt idx="88">
                  <c:v>86.399228208820773</c:v>
                </c:pt>
                <c:pt idx="89">
                  <c:v>86.316681468180789</c:v>
                </c:pt>
                <c:pt idx="90">
                  <c:v>86.2323055642063</c:v>
                </c:pt>
                <c:pt idx="91">
                  <c:v>86.14606443522328</c:v>
                </c:pt>
                <c:pt idx="92">
                  <c:v>86.057921629842383</c:v>
                </c:pt>
                <c:pt idx="93">
                  <c:v>85.967840327970052</c:v>
                </c:pt>
                <c:pt idx="94">
                  <c:v>85.875783364213575</c:v>
                </c:pt>
                <c:pt idx="95">
                  <c:v>85.781713253843378</c:v>
                </c:pt>
                <c:pt idx="96">
                  <c:v>85.685592221483176</c:v>
                </c:pt>
                <c:pt idx="97">
                  <c:v>85.587382232711889</c:v>
                </c:pt>
                <c:pt idx="98">
                  <c:v>85.487045028761415</c:v>
                </c:pt>
                <c:pt idx="99">
                  <c:v>85.384542164512865</c:v>
                </c:pt>
                <c:pt idx="100">
                  <c:v>85.279835049993679</c:v>
                </c:pt>
                <c:pt idx="101">
                  <c:v>85.17288499559416</c:v>
                </c:pt>
                <c:pt idx="102">
                  <c:v>85.063653261226904</c:v>
                </c:pt>
                <c:pt idx="103">
                  <c:v>84.952101109660333</c:v>
                </c:pt>
                <c:pt idx="104">
                  <c:v>84.83818986427076</c:v>
                </c:pt>
                <c:pt idx="105">
                  <c:v>84.721880971460678</c:v>
                </c:pt>
                <c:pt idx="106">
                  <c:v>84.603136068001064</c:v>
                </c:pt>
                <c:pt idx="107">
                  <c:v>84.48191705356399</c:v>
                </c:pt>
                <c:pt idx="108">
                  <c:v>84.358186168714894</c:v>
                </c:pt>
                <c:pt idx="109">
                  <c:v>84.231906078645451</c:v>
                </c:pt>
                <c:pt idx="110">
                  <c:v>84.10303996292528</c:v>
                </c:pt>
                <c:pt idx="111">
                  <c:v>83.971551611564351</c:v>
                </c:pt>
                <c:pt idx="112">
                  <c:v>83.837405527670498</c:v>
                </c:pt>
                <c:pt idx="113">
                  <c:v>83.700567036995977</c:v>
                </c:pt>
                <c:pt idx="114">
                  <c:v>83.561002404660897</c:v>
                </c:pt>
                <c:pt idx="115">
                  <c:v>83.418678959341491</c:v>
                </c:pt>
                <c:pt idx="116">
                  <c:v>83.273565225205829</c:v>
                </c:pt>
                <c:pt idx="117">
                  <c:v>83.125631061870806</c:v>
                </c:pt>
                <c:pt idx="118">
                  <c:v>82.97484781264653</c:v>
                </c:pt>
                <c:pt idx="119">
                  <c:v>82.821188461317192</c:v>
                </c:pt>
                <c:pt idx="120">
                  <c:v>82.664627797695047</c:v>
                </c:pt>
                <c:pt idx="121">
                  <c:v>82.505142592157284</c:v>
                </c:pt>
                <c:pt idx="122">
                  <c:v>82.342711779356222</c:v>
                </c:pt>
                <c:pt idx="123">
                  <c:v>82.177316651258394</c:v>
                </c:pt>
                <c:pt idx="124">
                  <c:v>82.008941059634793</c:v>
                </c:pt>
                <c:pt idx="125">
                  <c:v>81.837571628084817</c:v>
                </c:pt>
                <c:pt idx="126">
                  <c:v>81.663197973626183</c:v>
                </c:pt>
                <c:pt idx="127">
                  <c:v>81.485812937833458</c:v>
                </c:pt>
                <c:pt idx="128">
                  <c:v>81.305412827446446</c:v>
                </c:pt>
                <c:pt idx="129">
                  <c:v>81.121997664298178</c:v>
                </c:pt>
                <c:pt idx="130">
                  <c:v>80.935571444346337</c:v>
                </c:pt>
                <c:pt idx="131">
                  <c:v>80.746142405497423</c:v>
                </c:pt>
                <c:pt idx="132">
                  <c:v>80.553723303833053</c:v>
                </c:pt>
                <c:pt idx="133">
                  <c:v>80.358331697737611</c:v>
                </c:pt>
                <c:pt idx="134">
                  <c:v>80.159990239327044</c:v>
                </c:pt>
                <c:pt idx="135">
                  <c:v>79.958726972454571</c:v>
                </c:pt>
                <c:pt idx="136">
                  <c:v>79.754575636448308</c:v>
                </c:pt>
                <c:pt idx="137">
                  <c:v>79.54757597459718</c:v>
                </c:pt>
                <c:pt idx="138">
                  <c:v>79.337774046265494</c:v>
                </c:pt>
                <c:pt idx="139">
                  <c:v>79.125222541358269</c:v>
                </c:pt>
                <c:pt idx="140">
                  <c:v>78.909981095710734</c:v>
                </c:pt>
                <c:pt idx="141">
                  <c:v>78.692116605805495</c:v>
                </c:pt>
                <c:pt idx="142">
                  <c:v>78.471703541059057</c:v>
                </c:pt>
                <c:pt idx="143">
                  <c:v>78.248824251741581</c:v>
                </c:pt>
                <c:pt idx="144">
                  <c:v>78.023569270423167</c:v>
                </c:pt>
                <c:pt idx="145">
                  <c:v>77.796037604665486</c:v>
                </c:pt>
                <c:pt idx="146">
                  <c:v>77.566337018504399</c:v>
                </c:pt>
                <c:pt idx="147">
                  <c:v>77.334584300098257</c:v>
                </c:pt>
                <c:pt idx="148">
                  <c:v>77.100905512758871</c:v>
                </c:pt>
                <c:pt idx="149">
                  <c:v>76.865436226427136</c:v>
                </c:pt>
                <c:pt idx="150">
                  <c:v>76.628321726513221</c:v>
                </c:pt>
                <c:pt idx="151">
                  <c:v>76.389717196902865</c:v>
                </c:pt>
                <c:pt idx="152">
                  <c:v>76.14978787382266</c:v>
                </c:pt>
                <c:pt idx="153">
                  <c:v>75.908709167173498</c:v>
                </c:pt>
                <c:pt idx="154">
                  <c:v>75.666666745895967</c:v>
                </c:pt>
                <c:pt idx="155">
                  <c:v>75.42385658389486</c:v>
                </c:pt>
                <c:pt idx="156">
                  <c:v>75.18048496306902</c:v>
                </c:pt>
                <c:pt idx="157">
                  <c:v>74.936768430036324</c:v>
                </c:pt>
                <c:pt idx="158">
                  <c:v>74.69293370323345</c:v>
                </c:pt>
                <c:pt idx="159">
                  <c:v>74.449217527202194</c:v>
                </c:pt>
                <c:pt idx="160">
                  <c:v>74.205866471052531</c:v>
                </c:pt>
                <c:pt idx="161">
                  <c:v>73.963136668324083</c:v>
                </c:pt>
                <c:pt idx="162">
                  <c:v>73.721293495741293</c:v>
                </c:pt>
                <c:pt idx="163">
                  <c:v>73.480611188691014</c:v>
                </c:pt>
                <c:pt idx="164">
                  <c:v>73.241372391629397</c:v>
                </c:pt>
                <c:pt idx="165">
                  <c:v>73.003867642058552</c:v>
                </c:pt>
                <c:pt idx="166">
                  <c:v>72.768394787188356</c:v>
                </c:pt>
                <c:pt idx="167">
                  <c:v>72.535258332927995</c:v>
                </c:pt>
                <c:pt idx="168">
                  <c:v>72.304768725416864</c:v>
                </c:pt>
                <c:pt idx="169">
                  <c:v>72.077241565906235</c:v>
                </c:pt>
                <c:pt idx="170">
                  <c:v>71.852996760442664</c:v>
                </c:pt>
                <c:pt idx="171">
                  <c:v>71.632357606461028</c:v>
                </c:pt>
                <c:pt idx="172">
                  <c:v>71.415649819071817</c:v>
                </c:pt>
                <c:pt idx="173">
                  <c:v>71.203200500512096</c:v>
                </c:pt>
                <c:pt idx="174">
                  <c:v>70.995337056921016</c:v>
                </c:pt>
                <c:pt idx="175">
                  <c:v>70.792386067263308</c:v>
                </c:pt>
                <c:pt idx="176">
                  <c:v>70.594672109896138</c:v>
                </c:pt>
                <c:pt idx="177">
                  <c:v>70.402516552888727</c:v>
                </c:pt>
                <c:pt idx="178">
                  <c:v>70.216236314793477</c:v>
                </c:pt>
                <c:pt idx="179">
                  <c:v>70.036142603112921</c:v>
                </c:pt>
                <c:pt idx="180">
                  <c:v>69.862539638181843</c:v>
                </c:pt>
                <c:pt idx="181">
                  <c:v>69.695723370590898</c:v>
                </c:pt>
                <c:pt idx="182">
                  <c:v>69.535980200635123</c:v>
                </c:pt>
                <c:pt idx="183">
                  <c:v>69.383585708513067</c:v>
                </c:pt>
                <c:pt idx="184">
                  <c:v>69.238803404184836</c:v>
                </c:pt>
                <c:pt idx="185">
                  <c:v>69.101883505872351</c:v>
                </c:pt>
                <c:pt idx="186">
                  <c:v>68.973061756184407</c:v>
                </c:pt>
                <c:pt idx="187">
                  <c:v>68.852558284729199</c:v>
                </c:pt>
                <c:pt idx="188">
                  <c:v>68.740576525880201</c:v>
                </c:pt>
                <c:pt idx="189">
                  <c:v>68.637302200070948</c:v>
                </c:pt>
                <c:pt idx="190">
                  <c:v>68.542902366588308</c:v>
                </c:pt>
                <c:pt idx="191">
                  <c:v>68.457524555374178</c:v>
                </c:pt>
                <c:pt idx="192">
                  <c:v>68.381295984769736</c:v>
                </c:pt>
                <c:pt idx="193">
                  <c:v>68.314322871507059</c:v>
                </c:pt>
                <c:pt idx="194">
                  <c:v>68.256689838536545</c:v>
                </c:pt>
                <c:pt idx="195">
                  <c:v>68.208459425509417</c:v>
                </c:pt>
                <c:pt idx="196">
                  <c:v>68.169671705903653</c:v>
                </c:pt>
                <c:pt idx="197">
                  <c:v>68.140344013922089</c:v>
                </c:pt>
                <c:pt idx="198">
                  <c:v>68.120470783362919</c:v>
                </c:pt>
                <c:pt idx="199">
                  <c:v>68.110023499756394</c:v>
                </c:pt>
                <c:pt idx="200">
                  <c:v>68.108950766095148</c:v>
                </c:pt>
                <c:pt idx="201">
                  <c:v>68.117178481544897</c:v>
                </c:pt>
                <c:pt idx="202">
                  <c:v>68.134610131582903</c:v>
                </c:pt>
                <c:pt idx="203">
                  <c:v>68.161127187072779</c:v>
                </c:pt>
                <c:pt idx="204">
                  <c:v>68.196589608903835</c:v>
                </c:pt>
                <c:pt idx="205">
                  <c:v>68.240836453945548</c:v>
                </c:pt>
                <c:pt idx="206">
                  <c:v>68.293686577271032</c:v>
                </c:pt>
                <c:pt idx="207">
                  <c:v>68.354939424837127</c:v>
                </c:pt>
                <c:pt idx="208">
                  <c:v>68.42437591012353</c:v>
                </c:pt>
                <c:pt idx="209">
                  <c:v>68.501759367615122</c:v>
                </c:pt>
                <c:pt idx="210">
                  <c:v>68.586836575469107</c:v>
                </c:pt>
                <c:pt idx="211">
                  <c:v>68.679338839265881</c:v>
                </c:pt>
                <c:pt idx="212">
                  <c:v>68.778983128363521</c:v>
                </c:pt>
                <c:pt idx="213">
                  <c:v>68.885473256123632</c:v>
                </c:pt>
                <c:pt idx="214">
                  <c:v>68.998501095081451</c:v>
                </c:pt>
                <c:pt idx="215">
                  <c:v>69.117747818071749</c:v>
                </c:pt>
                <c:pt idx="216">
                  <c:v>69.242885156326707</c:v>
                </c:pt>
                <c:pt idx="217">
                  <c:v>69.373576665666405</c:v>
                </c:pt>
                <c:pt idx="218">
                  <c:v>69.509478992118488</c:v>
                </c:pt>
                <c:pt idx="219">
                  <c:v>69.650243128560945</c:v>
                </c:pt>
                <c:pt idx="220">
                  <c:v>69.79551565437022</c:v>
                </c:pt>
                <c:pt idx="221">
                  <c:v>69.944939950463962</c:v>
                </c:pt>
                <c:pt idx="222">
                  <c:v>70.098157382651607</c:v>
                </c:pt>
                <c:pt idx="223">
                  <c:v>70.254808446735765</c:v>
                </c:pt>
                <c:pt idx="224">
                  <c:v>70.414533869425284</c:v>
                </c:pt>
                <c:pt idx="225">
                  <c:v>70.576975659743255</c:v>
                </c:pt>
                <c:pt idx="226">
                  <c:v>70.741778106284713</c:v>
                </c:pt>
                <c:pt idx="227">
                  <c:v>70.908588716351503</c:v>
                </c:pt>
                <c:pt idx="228">
                  <c:v>71.077059093683175</c:v>
                </c:pt>
                <c:pt idx="229">
                  <c:v>71.246845752183077</c:v>
                </c:pt>
                <c:pt idx="230">
                  <c:v>71.417610863710024</c:v>
                </c:pt>
                <c:pt idx="231">
                  <c:v>71.589022938667227</c:v>
                </c:pt>
                <c:pt idx="232">
                  <c:v>71.76075743873561</c:v>
                </c:pt>
                <c:pt idx="233">
                  <c:v>71.932497321702101</c:v>
                </c:pt>
                <c:pt idx="234">
                  <c:v>72.103933518880467</c:v>
                </c:pt>
                <c:pt idx="235">
                  <c:v>72.274765346144065</c:v>
                </c:pt>
                <c:pt idx="236">
                  <c:v>72.444700850047411</c:v>
                </c:pt>
                <c:pt idx="237">
                  <c:v>72.613457090925365</c:v>
                </c:pt>
                <c:pt idx="238">
                  <c:v>72.780760365246934</c:v>
                </c:pt>
                <c:pt idx="239">
                  <c:v>72.94634636978293</c:v>
                </c:pt>
                <c:pt idx="240">
                  <c:v>73.109960310440087</c:v>
                </c:pt>
                <c:pt idx="241">
                  <c:v>73.271356958809264</c:v>
                </c:pt>
                <c:pt idx="242">
                  <c:v>73.430300659649276</c:v>
                </c:pt>
                <c:pt idx="243">
                  <c:v>73.586565292645119</c:v>
                </c:pt>
                <c:pt idx="244">
                  <c:v>73.739934191856776</c:v>
                </c:pt>
                <c:pt idx="245">
                  <c:v>73.890200026308989</c:v>
                </c:pt>
                <c:pt idx="246">
                  <c:v>74.037164645175125</c:v>
                </c:pt>
                <c:pt idx="247">
                  <c:v>74.18063889097246</c:v>
                </c:pt>
                <c:pt idx="248">
                  <c:v>74.320442384123012</c:v>
                </c:pt>
                <c:pt idx="249">
                  <c:v>74.456403282148784</c:v>
                </c:pt>
                <c:pt idx="250">
                  <c:v>74.588358016653132</c:v>
                </c:pt>
                <c:pt idx="251">
                  <c:v>74.716151011119422</c:v>
                </c:pt>
                <c:pt idx="252">
                  <c:v>74.8396343824094</c:v>
                </c:pt>
                <c:pt idx="253">
                  <c:v>74.95866762868323</c:v>
                </c:pt>
                <c:pt idx="254">
                  <c:v>75.073117306313478</c:v>
                </c:pt>
                <c:pt idx="255">
                  <c:v>75.182856698178398</c:v>
                </c:pt>
                <c:pt idx="256">
                  <c:v>75.287765475557208</c:v>
                </c:pt>
                <c:pt idx="257">
                  <c:v>75.387729355673642</c:v>
                </c:pt>
                <c:pt idx="258">
                  <c:v>75.482639756756399</c:v>
                </c:pt>
                <c:pt idx="259">
                  <c:v>75.572393452319886</c:v>
                </c:pt>
                <c:pt idx="260">
                  <c:v>75.656892226198465</c:v>
                </c:pt>
                <c:pt idx="261">
                  <c:v>75.736042529706395</c:v>
                </c:pt>
                <c:pt idx="262">
                  <c:v>75.809755142142279</c:v>
                </c:pt>
                <c:pt idx="263">
                  <c:v>75.877944835710039</c:v>
                </c:pt>
                <c:pt idx="264">
                  <c:v>75.940530045783532</c:v>
                </c:pt>
                <c:pt idx="265">
                  <c:v>75.997432547319875</c:v>
                </c:pt>
                <c:pt idx="266">
                  <c:v>76.048577138092597</c:v>
                </c:pt>
                <c:pt idx="267">
                  <c:v>76.093891329313365</c:v>
                </c:pt>
                <c:pt idx="268">
                  <c:v>76.133305044096375</c:v>
                </c:pt>
                <c:pt idx="269">
                  <c:v>76.16675032412779</c:v>
                </c:pt>
                <c:pt idx="270">
                  <c:v>76.194161044814308</c:v>
                </c:pt>
                <c:pt idx="271">
                  <c:v>76.215472639104917</c:v>
                </c:pt>
                <c:pt idx="272">
                  <c:v>76.230621830107594</c:v>
                </c:pt>
                <c:pt idx="273">
                  <c:v>76.239546372560142</c:v>
                </c:pt>
                <c:pt idx="274">
                  <c:v>76.24218480315713</c:v>
                </c:pt>
                <c:pt idx="275">
                  <c:v>76.238476199686602</c:v>
                </c:pt>
                <c:pt idx="276">
                  <c:v>76.228359948883991</c:v>
                </c:pt>
                <c:pt idx="277">
                  <c:v>76.211775522880487</c:v>
                </c:pt>
                <c:pt idx="278">
                  <c:v>76.188662264083305</c:v>
                </c:pt>
                <c:pt idx="279">
                  <c:v>76.158959178308493</c:v>
                </c:pt>
                <c:pt idx="280">
                  <c:v>76.12260473596055</c:v>
                </c:pt>
                <c:pt idx="281">
                  <c:v>76.079536681039912</c:v>
                </c:pt>
                <c:pt idx="282">
                  <c:v>76.029691847746619</c:v>
                </c:pt>
                <c:pt idx="283">
                  <c:v>75.973005984441798</c:v>
                </c:pt>
                <c:pt idx="284">
                  <c:v>75.909413584725016</c:v>
                </c:pt>
                <c:pt idx="285">
                  <c:v>75.838847725383161</c:v>
                </c:pt>
                <c:pt idx="286">
                  <c:v>75.76123991097154</c:v>
                </c:pt>
                <c:pt idx="287">
                  <c:v>75.676519924792629</c:v>
                </c:pt>
                <c:pt idx="288">
                  <c:v>75.584615686046149</c:v>
                </c:pt>
                <c:pt idx="289">
                  <c:v>75.485453112933271</c:v>
                </c:pt>
                <c:pt idx="290">
                  <c:v>75.378955991516861</c:v>
                </c:pt>
                <c:pt idx="291">
                  <c:v>75.265045850147402</c:v>
                </c:pt>
                <c:pt idx="292">
                  <c:v>75.143641839288492</c:v>
                </c:pt>
                <c:pt idx="293">
                  <c:v>75.014660616592124</c:v>
                </c:pt>
                <c:pt idx="294">
                  <c:v>74.878016237097427</c:v>
                </c:pt>
                <c:pt idx="295">
                  <c:v>74.733620048449623</c:v>
                </c:pt>
                <c:pt idx="296">
                  <c:v>74.581380591060494</c:v>
                </c:pt>
                <c:pt idx="297">
                  <c:v>74.421203503165785</c:v>
                </c:pt>
                <c:pt idx="298">
                  <c:v>74.252991430752587</c:v>
                </c:pt>
                <c:pt idx="299">
                  <c:v>74.076643942374631</c:v>
                </c:pt>
                <c:pt idx="300">
                  <c:v>73.892057448898029</c:v>
                </c:pt>
                <c:pt idx="301">
                  <c:v>73.699125128258771</c:v>
                </c:pt>
                <c:pt idx="302">
                  <c:v>73.49773685535034</c:v>
                </c:pt>
                <c:pt idx="303">
                  <c:v>73.287779137200062</c:v>
                </c:pt>
                <c:pt idx="304">
                  <c:v>73.069135053633147</c:v>
                </c:pt>
                <c:pt idx="305">
                  <c:v>72.841684203668649</c:v>
                </c:pt>
                <c:pt idx="306">
                  <c:v>72.605302657935397</c:v>
                </c:pt>
                <c:pt idx="307">
                  <c:v>72.359862917445682</c:v>
                </c:pt>
                <c:pt idx="308">
                  <c:v>72.105233879112561</c:v>
                </c:pt>
                <c:pt idx="309">
                  <c:v>71.841280808450222</c:v>
                </c:pt>
                <c:pt idx="310">
                  <c:v>71.567865319949107</c:v>
                </c:pt>
                <c:pt idx="311">
                  <c:v>71.28484536567197</c:v>
                </c:pt>
                <c:pt idx="312">
                  <c:v>70.992075232677337</c:v>
                </c:pt>
                <c:pt idx="313">
                  <c:v>70.689405549927756</c:v>
                </c:pt>
                <c:pt idx="314">
                  <c:v>70.376683305411191</c:v>
                </c:pt>
                <c:pt idx="315">
                  <c:v>70.053751874248093</c:v>
                </c:pt>
                <c:pt idx="316">
                  <c:v>69.720451058629678</c:v>
                </c:pt>
                <c:pt idx="317">
                  <c:v>69.376617140484584</c:v>
                </c:pt>
                <c:pt idx="318">
                  <c:v>69.022082947832345</c:v>
                </c:pt>
                <c:pt idx="319">
                  <c:v>68.656677935837607</c:v>
                </c:pt>
                <c:pt idx="320">
                  <c:v>68.280228283632738</c:v>
                </c:pt>
                <c:pt idx="321">
                  <c:v>67.892557008028575</c:v>
                </c:pt>
                <c:pt idx="322">
                  <c:v>67.493484095278575</c:v>
                </c:pt>
                <c:pt idx="323">
                  <c:v>67.082826652098092</c:v>
                </c:pt>
                <c:pt idx="324">
                  <c:v>66.660399077183257</c:v>
                </c:pt>
                <c:pt idx="325">
                  <c:v>66.226013254487356</c:v>
                </c:pt>
                <c:pt idx="326">
                  <c:v>65.779478769545065</c:v>
                </c:pt>
                <c:pt idx="327">
                  <c:v>65.320603150116895</c:v>
                </c:pt>
                <c:pt idx="328">
                  <c:v>64.849192132444784</c:v>
                </c:pt>
                <c:pt idx="329">
                  <c:v>64.365049954364906</c:v>
                </c:pt>
                <c:pt idx="330">
                  <c:v>63.867979676507474</c:v>
                </c:pt>
                <c:pt idx="331">
                  <c:v>63.357783532734857</c:v>
                </c:pt>
                <c:pt idx="332">
                  <c:v>62.834263310921763</c:v>
                </c:pt>
                <c:pt idx="333">
                  <c:v>62.29722076506512</c:v>
                </c:pt>
                <c:pt idx="334">
                  <c:v>61.746458059610227</c:v>
                </c:pt>
                <c:pt idx="335">
                  <c:v>61.181778246733828</c:v>
                </c:pt>
                <c:pt idx="336">
                  <c:v>60.602985777166516</c:v>
                </c:pt>
                <c:pt idx="337">
                  <c:v>60.009887044949643</c:v>
                </c:pt>
                <c:pt idx="338">
                  <c:v>59.402290966307525</c:v>
                </c:pt>
                <c:pt idx="339">
                  <c:v>58.780009592587007</c:v>
                </c:pt>
                <c:pt idx="340">
                  <c:v>58.142858756948876</c:v>
                </c:pt>
                <c:pt idx="341">
                  <c:v>57.490658754214444</c:v>
                </c:pt>
                <c:pt idx="342">
                  <c:v>56.823235052970631</c:v>
                </c:pt>
                <c:pt idx="343">
                  <c:v>56.140419038699612</c:v>
                </c:pt>
                <c:pt idx="344">
                  <c:v>55.442048786368261</c:v>
                </c:pt>
                <c:pt idx="345">
                  <c:v>54.727969860547127</c:v>
                </c:pt>
                <c:pt idx="346">
                  <c:v>53.998036140759005</c:v>
                </c:pt>
                <c:pt idx="347">
                  <c:v>53.252110669389602</c:v>
                </c:pt>
                <c:pt idx="348">
                  <c:v>52.490066519101482</c:v>
                </c:pt>
                <c:pt idx="349">
                  <c:v>51.711787676327262</c:v>
                </c:pt>
                <c:pt idx="350">
                  <c:v>50.917169937041038</c:v>
                </c:pt>
                <c:pt idx="351">
                  <c:v>50.106121810660746</c:v>
                </c:pt>
                <c:pt idx="352">
                  <c:v>49.278565427580567</c:v>
                </c:pt>
                <c:pt idx="353">
                  <c:v>48.43443744554353</c:v>
                </c:pt>
                <c:pt idx="354">
                  <c:v>47.573689949755277</c:v>
                </c:pt>
                <c:pt idx="355">
                  <c:v>46.696291341418473</c:v>
                </c:pt>
                <c:pt idx="356">
                  <c:v>45.802227209139588</c:v>
                </c:pt>
                <c:pt idx="357">
                  <c:v>44.891501177510079</c:v>
                </c:pt>
                <c:pt idx="358">
                  <c:v>43.964135727051115</c:v>
                </c:pt>
                <c:pt idx="359">
                  <c:v>43.020172979648066</c:v>
                </c:pt>
                <c:pt idx="360">
                  <c:v>42.059675443592972</c:v>
                </c:pt>
                <c:pt idx="361">
                  <c:v>41.082726712420666</c:v>
                </c:pt>
                <c:pt idx="362">
                  <c:v>40.089432111813139</c:v>
                </c:pt>
                <c:pt idx="363">
                  <c:v>39.079919289038706</c:v>
                </c:pt>
                <c:pt idx="364">
                  <c:v>38.054338739595352</c:v>
                </c:pt>
                <c:pt idx="365">
                  <c:v>37.012864266030626</c:v>
                </c:pt>
                <c:pt idx="366">
                  <c:v>35.955693364224061</c:v>
                </c:pt>
                <c:pt idx="367">
                  <c:v>34.883047532816875</c:v>
                </c:pt>
                <c:pt idx="368">
                  <c:v>33.79517250188794</c:v>
                </c:pt>
                <c:pt idx="369">
                  <c:v>32.692338377459208</c:v>
                </c:pt>
                <c:pt idx="370">
                  <c:v>31.574839698900902</c:v>
                </c:pt>
                <c:pt idx="371">
                  <c:v>30.442995406845569</c:v>
                </c:pt>
                <c:pt idx="372">
                  <c:v>29.297148719787174</c:v>
                </c:pt>
                <c:pt idx="373">
                  <c:v>28.137666918096155</c:v>
                </c:pt>
                <c:pt idx="374">
                  <c:v>26.964941034782491</c:v>
                </c:pt>
                <c:pt idx="375">
                  <c:v>25.779385452927354</c:v>
                </c:pt>
                <c:pt idx="376">
                  <c:v>24.581437410281481</c:v>
                </c:pt>
                <c:pt idx="377">
                  <c:v>23.3715564121391</c:v>
                </c:pt>
                <c:pt idx="378">
                  <c:v>22.150223554142599</c:v>
                </c:pt>
                <c:pt idx="379">
                  <c:v>20.917940757251525</c:v>
                </c:pt>
                <c:pt idx="380">
                  <c:v>19.675229917633146</c:v>
                </c:pt>
                <c:pt idx="381">
                  <c:v>18.422631974761316</c:v>
                </c:pt>
                <c:pt idx="382">
                  <c:v>17.160705901469544</c:v>
                </c:pt>
                <c:pt idx="383">
                  <c:v>15.8900276201922</c:v>
                </c:pt>
                <c:pt idx="384">
                  <c:v>14.611188850021286</c:v>
                </c:pt>
                <c:pt idx="385">
                  <c:v>13.32479588960506</c:v>
                </c:pt>
                <c:pt idx="386">
                  <c:v>12.031468341268027</c:v>
                </c:pt>
                <c:pt idx="387">
                  <c:v>10.731837782032891</c:v>
                </c:pt>
                <c:pt idx="388">
                  <c:v>9.4265463875091537</c:v>
                </c:pt>
                <c:pt idx="389">
                  <c:v>8.1162455148372477</c:v>
                </c:pt>
                <c:pt idx="390">
                  <c:v>6.8015942510886616</c:v>
                </c:pt>
                <c:pt idx="391">
                  <c:v>5.4832579336571596</c:v>
                </c:pt>
                <c:pt idx="392">
                  <c:v>4.1619066493113746</c:v>
                </c:pt>
                <c:pt idx="393">
                  <c:v>2.8382137186560028</c:v>
                </c:pt>
                <c:pt idx="394">
                  <c:v>1.5128541727774034</c:v>
                </c:pt>
                <c:pt idx="395">
                  <c:v>0.18650322886457157</c:v>
                </c:pt>
                <c:pt idx="396">
                  <c:v>-1.1401652284384176</c:v>
                </c:pt>
                <c:pt idx="397">
                  <c:v>-2.4664801532755543</c:v>
                </c:pt>
                <c:pt idx="398">
                  <c:v>-3.7917748258373334</c:v>
                </c:pt>
                <c:pt idx="399">
                  <c:v>-5.1153883142190217</c:v>
                </c:pt>
                <c:pt idx="400">
                  <c:v>-6.4366669046224114</c:v>
                </c:pt>
                <c:pt idx="401">
                  <c:v>-7.7549654938876333</c:v>
                </c:pt>
                <c:pt idx="402">
                  <c:v>-9.0696489385687471</c:v>
                </c:pt>
                <c:pt idx="403">
                  <c:v>-10.380093355078948</c:v>
                </c:pt>
                <c:pt idx="404">
                  <c:v>-11.685687365734859</c:v>
                </c:pt>
                <c:pt idx="405">
                  <c:v>-12.985833285890186</c:v>
                </c:pt>
                <c:pt idx="406">
                  <c:v>-14.279948247736373</c:v>
                </c:pt>
                <c:pt idx="407">
                  <c:v>-15.567465256753186</c:v>
                </c:pt>
                <c:pt idx="408">
                  <c:v>-16.847834177239168</c:v>
                </c:pt>
                <c:pt idx="409">
                  <c:v>-18.120522643808062</c:v>
                </c:pt>
                <c:pt idx="410">
                  <c:v>-19.385016896225274</c:v>
                </c:pt>
                <c:pt idx="411">
                  <c:v>-20.640822535444325</c:v>
                </c:pt>
                <c:pt idx="412">
                  <c:v>-21.887465199234423</c:v>
                </c:pt>
                <c:pt idx="413">
                  <c:v>-23.124491156278253</c:v>
                </c:pt>
                <c:pt idx="414">
                  <c:v>-24.351467818155296</c:v>
                </c:pt>
                <c:pt idx="415">
                  <c:v>-25.567984169139613</c:v>
                </c:pt>
                <c:pt idx="416">
                  <c:v>-26.77365111423596</c:v>
                </c:pt>
                <c:pt idx="417">
                  <c:v>-27.968101746381087</c:v>
                </c:pt>
                <c:pt idx="418">
                  <c:v>-29.150991534203936</c:v>
                </c:pt>
                <c:pt idx="419">
                  <c:v>-30.321998432194626</c:v>
                </c:pt>
                <c:pt idx="420">
                  <c:v>-31.480822915546458</c:v>
                </c:pt>
                <c:pt idx="421">
                  <c:v>-32.627187942337862</c:v>
                </c:pt>
                <c:pt idx="422">
                  <c:v>-33.760838846060054</c:v>
                </c:pt>
                <c:pt idx="423">
                  <c:v>-34.881543161836468</c:v>
                </c:pt>
                <c:pt idx="424">
                  <c:v>-35.989090389928975</c:v>
                </c:pt>
                <c:pt idx="425">
                  <c:v>-37.08329170039277</c:v>
                </c:pt>
                <c:pt idx="426">
                  <c:v>-38.163979582910052</c:v>
                </c:pt>
                <c:pt idx="427">
                  <c:v>-39.231007445990635</c:v>
                </c:pt>
                <c:pt idx="428">
                  <c:v>-40.284249169840663</c:v>
                </c:pt>
                <c:pt idx="429">
                  <c:v>-41.323598617265937</c:v>
                </c:pt>
                <c:pt idx="430">
                  <c:v>-42.348969106983333</c:v>
                </c:pt>
                <c:pt idx="431">
                  <c:v>-43.360292853739395</c:v>
                </c:pt>
                <c:pt idx="432">
                  <c:v>-44.357520379541889</c:v>
                </c:pt>
                <c:pt idx="433">
                  <c:v>-45.340619900275009</c:v>
                </c:pt>
                <c:pt idx="434">
                  <c:v>-46.309576691824972</c:v>
                </c:pt>
                <c:pt idx="435">
                  <c:v>-47.264392439721306</c:v>
                </c:pt>
                <c:pt idx="436">
                  <c:v>-48.205084576144031</c:v>
                </c:pt>
                <c:pt idx="437">
                  <c:v>-49.13168560795701</c:v>
                </c:pt>
                <c:pt idx="438">
                  <c:v>-50.044242439240165</c:v>
                </c:pt>
                <c:pt idx="439">
                  <c:v>-50.942815691583377</c:v>
                </c:pt>
                <c:pt idx="440">
                  <c:v>-51.827479025188623</c:v>
                </c:pt>
                <c:pt idx="441">
                  <c:v>-52.698318463599584</c:v>
                </c:pt>
                <c:pt idx="442">
                  <c:v>-53.555431724653452</c:v>
                </c:pt>
                <c:pt idx="443">
                  <c:v>-54.398927560019125</c:v>
                </c:pt>
                <c:pt idx="444">
                  <c:v>-55.228925105459545</c:v>
                </c:pt>
                <c:pt idx="445">
                  <c:v>-56.045553243726332</c:v>
                </c:pt>
                <c:pt idx="446">
                  <c:v>-56.848949981784457</c:v>
                </c:pt>
                <c:pt idx="447">
                  <c:v>-57.639261843843848</c:v>
                </c:pt>
                <c:pt idx="448">
                  <c:v>-58.416643281475999</c:v>
                </c:pt>
                <c:pt idx="449">
                  <c:v>-59.181256101894625</c:v>
                </c:pt>
                <c:pt idx="450">
                  <c:v>-59.933268915301284</c:v>
                </c:pt>
                <c:pt idx="451">
                  <c:v>-60.672856602011443</c:v>
                </c:pt>
                <c:pt idx="452">
                  <c:v>-61.400199799927869</c:v>
                </c:pt>
                <c:pt idx="453">
                  <c:v>-62.115484412768403</c:v>
                </c:pt>
                <c:pt idx="454">
                  <c:v>-62.818901139312686</c:v>
                </c:pt>
                <c:pt idx="455">
                  <c:v>-63.510645023818782</c:v>
                </c:pt>
                <c:pt idx="456">
                  <c:v>-64.190915027624584</c:v>
                </c:pt>
                <c:pt idx="457">
                  <c:v>-64.859913621865502</c:v>
                </c:pt>
                <c:pt idx="458">
                  <c:v>-65.517846401125993</c:v>
                </c:pt>
                <c:pt idx="459">
                  <c:v>-66.164921717772103</c:v>
                </c:pt>
                <c:pt idx="460">
                  <c:v>-66.801350336634485</c:v>
                </c:pt>
                <c:pt idx="461">
                  <c:v>-67.427345109642744</c:v>
                </c:pt>
                <c:pt idx="462">
                  <c:v>-68.043120669966498</c:v>
                </c:pt>
                <c:pt idx="463">
                  <c:v>-68.648893145157629</c:v>
                </c:pt>
                <c:pt idx="464">
                  <c:v>-69.244879888766562</c:v>
                </c:pt>
                <c:pt idx="465">
                  <c:v>-69.831299229851368</c:v>
                </c:pt>
                <c:pt idx="466">
                  <c:v>-70.408370239795346</c:v>
                </c:pt>
                <c:pt idx="467">
                  <c:v>-70.976312515810449</c:v>
                </c:pt>
                <c:pt idx="468">
                  <c:v>-71.535345980500537</c:v>
                </c:pt>
                <c:pt idx="469">
                  <c:v>-72.085690696844821</c:v>
                </c:pt>
                <c:pt idx="470">
                  <c:v>-72.627566697955771</c:v>
                </c:pt>
                <c:pt idx="471">
                  <c:v>-73.161193830968841</c:v>
                </c:pt>
                <c:pt idx="472">
                  <c:v>-73.686791614414787</c:v>
                </c:pt>
                <c:pt idx="473">
                  <c:v>-74.204579108442246</c:v>
                </c:pt>
                <c:pt idx="474">
                  <c:v>-74.714774797253284</c:v>
                </c:pt>
                <c:pt idx="475">
                  <c:v>-75.217596483133804</c:v>
                </c:pt>
                <c:pt idx="476">
                  <c:v>-75.713261191466557</c:v>
                </c:pt>
                <c:pt idx="477">
                  <c:v>-76.20198508613008</c:v>
                </c:pt>
                <c:pt idx="478">
                  <c:v>-76.683983394699723</c:v>
                </c:pt>
                <c:pt idx="479">
                  <c:v>-77.159470342883324</c:v>
                </c:pt>
                <c:pt idx="480">
                  <c:v>-77.628659097638632</c:v>
                </c:pt>
                <c:pt idx="481">
                  <c:v>-78.091761718435649</c:v>
                </c:pt>
                <c:pt idx="482">
                  <c:v>-78.548989116146998</c:v>
                </c:pt>
                <c:pt idx="483">
                  <c:v>-79.000551019060183</c:v>
                </c:pt>
                <c:pt idx="484">
                  <c:v>-79.446655945528605</c:v>
                </c:pt>
                <c:pt idx="485">
                  <c:v>-79.887511182789837</c:v>
                </c:pt>
                <c:pt idx="486">
                  <c:v>-80.323322771499022</c:v>
                </c:pt>
                <c:pt idx="487">
                  <c:v>-80.754295495539765</c:v>
                </c:pt>
                <c:pt idx="488">
                  <c:v>-81.180632876689174</c:v>
                </c:pt>
                <c:pt idx="489">
                  <c:v>-81.602537173731534</c:v>
                </c:pt>
                <c:pt idx="490">
                  <c:v>-82.020209385626274</c:v>
                </c:pt>
                <c:pt idx="491">
                  <c:v>-82.433849258350065</c:v>
                </c:pt>
                <c:pt idx="492">
                  <c:v>-82.84365529504673</c:v>
                </c:pt>
                <c:pt idx="493">
                  <c:v>-83.249824769129333</c:v>
                </c:pt>
                <c:pt idx="494">
                  <c:v>-83.652553739989557</c:v>
                </c:pt>
                <c:pt idx="495">
                  <c:v>-84.052037070982095</c:v>
                </c:pt>
                <c:pt idx="496">
                  <c:v>-84.448468449357193</c:v>
                </c:pt>
                <c:pt idx="497">
                  <c:v>-84.842040407826502</c:v>
                </c:pt>
                <c:pt idx="498">
                  <c:v>-85.232944347453468</c:v>
                </c:pt>
                <c:pt idx="499">
                  <c:v>-85.621370561565826</c:v>
                </c:pt>
                <c:pt idx="500">
                  <c:v>-86.007508260393863</c:v>
                </c:pt>
                <c:pt idx="501">
                  <c:v>-86.391545596143729</c:v>
                </c:pt>
                <c:pt idx="502">
                  <c:v>-86.773669688216657</c:v>
                </c:pt>
                <c:pt idx="503">
                  <c:v>-87.154066648292158</c:v>
                </c:pt>
                <c:pt idx="504">
                  <c:v>-87.532921604989681</c:v>
                </c:pt>
                <c:pt idx="505">
                  <c:v>-87.910418727830091</c:v>
                </c:pt>
                <c:pt idx="506">
                  <c:v>-88.286741250215343</c:v>
                </c:pt>
                <c:pt idx="507">
                  <c:v>-88.662071491144744</c:v>
                </c:pt>
                <c:pt idx="508">
                  <c:v>-89.036590875386366</c:v>
                </c:pt>
                <c:pt idx="509">
                  <c:v>-89.410479951818289</c:v>
                </c:pt>
                <c:pt idx="510">
                  <c:v>-89.783918409653239</c:v>
                </c:pt>
                <c:pt idx="511">
                  <c:v>-90.157085092255102</c:v>
                </c:pt>
                <c:pt idx="512">
                  <c:v>-90.530158008253423</c:v>
                </c:pt>
                <c:pt idx="513">
                  <c:v>-90.903314339654926</c:v>
                </c:pt>
                <c:pt idx="514">
                  <c:v>-91.276730446648472</c:v>
                </c:pt>
                <c:pt idx="515">
                  <c:v>-91.650581868790439</c:v>
                </c:pt>
                <c:pt idx="516">
                  <c:v>-92.025043322255442</c:v>
                </c:pt>
                <c:pt idx="517">
                  <c:v>-92.400288692826308</c:v>
                </c:pt>
                <c:pt idx="518">
                  <c:v>-92.776491024292966</c:v>
                </c:pt>
                <c:pt idx="519">
                  <c:v>-93.153822501922193</c:v>
                </c:pt>
                <c:pt idx="520">
                  <c:v>-93.532454430651413</c:v>
                </c:pt>
                <c:pt idx="521">
                  <c:v>-93.912557207654444</c:v>
                </c:pt>
                <c:pt idx="522">
                  <c:v>-94.294300288918151</c:v>
                </c:pt>
                <c:pt idx="523">
                  <c:v>-94.677852149463789</c:v>
                </c:pt>
                <c:pt idx="524">
                  <c:v>-95.063380236838938</c:v>
                </c:pt>
                <c:pt idx="525">
                  <c:v>-95.451050917500467</c:v>
                </c:pt>
                <c:pt idx="526">
                  <c:v>-95.841029415705123</c:v>
                </c:pt>
                <c:pt idx="527">
                  <c:v>-96.233479744519244</c:v>
                </c:pt>
                <c:pt idx="528">
                  <c:v>-96.628564628555822</c:v>
                </c:pt>
                <c:pt idx="529">
                  <c:v>-97.026445418050557</c:v>
                </c:pt>
                <c:pt idx="530">
                  <c:v>-97.427281993879802</c:v>
                </c:pt>
                <c:pt idx="531">
                  <c:v>-97.831232663138451</c:v>
                </c:pt>
                <c:pt idx="532">
                  <c:v>-98.238454044889423</c:v>
                </c:pt>
                <c:pt idx="533">
                  <c:v>-98.649100945713215</c:v>
                </c:pt>
                <c:pt idx="534">
                  <c:v>-99.063326224690385</c:v>
                </c:pt>
                <c:pt idx="535">
                  <c:v>-99.481280647469021</c:v>
                </c:pt>
                <c:pt idx="536">
                  <c:v>-99.903112729083873</c:v>
                </c:pt>
                <c:pt idx="537">
                  <c:v>-100.3289685652209</c:v>
                </c:pt>
                <c:pt idx="538">
                  <c:v>-100.75899165164321</c:v>
                </c:pt>
                <c:pt idx="539">
                  <c:v>-101.19332269152993</c:v>
                </c:pt>
                <c:pt idx="540">
                  <c:v>-101.63209939051643</c:v>
                </c:pt>
                <c:pt idx="541">
                  <c:v>-102.07545623927076</c:v>
                </c:pt>
              </c:numCache>
            </c:numRef>
          </c:yVal>
          <c:smooth val="1"/>
          <c:extLst>
            <c:ext xmlns:c16="http://schemas.microsoft.com/office/drawing/2014/chart" uri="{C3380CC4-5D6E-409C-BE32-E72D297353CC}">
              <c16:uniqueId val="{0000000B-ECAC-4E20-B866-0DB1B3DE6FE8}"/>
            </c:ext>
          </c:extLst>
        </c:ser>
        <c:dLbls>
          <c:showLegendKey val="0"/>
          <c:showVal val="0"/>
          <c:showCatName val="0"/>
          <c:showSerName val="0"/>
          <c:showPercent val="0"/>
          <c:showBubbleSize val="0"/>
        </c:dLbls>
        <c:axId val="387647744"/>
        <c:axId val="364517248"/>
      </c:scatterChart>
      <c:valAx>
        <c:axId val="357835904"/>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US"/>
          </a:p>
        </c:txPr>
        <c:crossAx val="364477056"/>
        <c:crosses val="autoZero"/>
        <c:crossBetween val="midCat"/>
      </c:valAx>
      <c:valAx>
        <c:axId val="36447705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US"/>
          </a:p>
        </c:txPr>
        <c:crossAx val="357835904"/>
        <c:crosses val="autoZero"/>
        <c:crossBetween val="midCat"/>
        <c:majorUnit val="20"/>
        <c:minorUnit val="10"/>
      </c:valAx>
      <c:valAx>
        <c:axId val="364517248"/>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US"/>
          </a:p>
        </c:txPr>
        <c:crossAx val="387647744"/>
        <c:crosses val="max"/>
        <c:crossBetween val="midCat"/>
        <c:majorUnit val="90"/>
        <c:minorUnit val="45"/>
      </c:valAx>
      <c:valAx>
        <c:axId val="387647744"/>
        <c:scaling>
          <c:logBase val="10"/>
          <c:orientation val="minMax"/>
        </c:scaling>
        <c:delete val="1"/>
        <c:axPos val="b"/>
        <c:numFmt formatCode="0.00" sourceLinked="1"/>
        <c:majorTickMark val="out"/>
        <c:minorTickMark val="none"/>
        <c:tickLblPos val="nextTo"/>
        <c:crossAx val="364517248"/>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63.496798751706223</c:v>
                </c:pt>
                <c:pt idx="1">
                  <c:v>63.296760480083492</c:v>
                </c:pt>
                <c:pt idx="2">
                  <c:v>63.096720405349451</c:v>
                </c:pt>
                <c:pt idx="3">
                  <c:v>62.896678442581631</c:v>
                </c:pt>
                <c:pt idx="4">
                  <c:v>62.696634502860569</c:v>
                </c:pt>
                <c:pt idx="5">
                  <c:v>62.496588493081866</c:v>
                </c:pt>
                <c:pt idx="6">
                  <c:v>62.29654031575982</c:v>
                </c:pt>
                <c:pt idx="7">
                  <c:v>62.096489868821394</c:v>
                </c:pt>
                <c:pt idx="8">
                  <c:v>61.896437045390805</c:v>
                </c:pt>
                <c:pt idx="9">
                  <c:v>61.696381733563584</c:v>
                </c:pt>
                <c:pt idx="10">
                  <c:v>61.496323816170857</c:v>
                </c:pt>
                <c:pt idx="11">
                  <c:v>61.296263170531979</c:v>
                </c:pt>
                <c:pt idx="12">
                  <c:v>61.09619966819551</c:v>
                </c:pt>
                <c:pt idx="13">
                  <c:v>60.896133174668698</c:v>
                </c:pt>
                <c:pt idx="14">
                  <c:v>60.69606354913369</c:v>
                </c:pt>
                <c:pt idx="15">
                  <c:v>60.49599064415073</c:v>
                </c:pt>
                <c:pt idx="16">
                  <c:v>60.295914305347786</c:v>
                </c:pt>
                <c:pt idx="17">
                  <c:v>60.095834371094973</c:v>
                </c:pt>
                <c:pt idx="18">
                  <c:v>59.895750672164496</c:v>
                </c:pt>
                <c:pt idx="19">
                  <c:v>59.695663031374409</c:v>
                </c:pt>
                <c:pt idx="20">
                  <c:v>59.49557126321551</c:v>
                </c:pt>
                <c:pt idx="21">
                  <c:v>59.29547517346171</c:v>
                </c:pt>
                <c:pt idx="22">
                  <c:v>59.095374558761151</c:v>
                </c:pt>
                <c:pt idx="23">
                  <c:v>58.895269206208987</c:v>
                </c:pt>
                <c:pt idx="24">
                  <c:v>58.695158892900139</c:v>
                </c:pt>
                <c:pt idx="25">
                  <c:v>58.495043385461464</c:v>
                </c:pt>
                <c:pt idx="26">
                  <c:v>58.29492243956139</c:v>
                </c:pt>
                <c:pt idx="27">
                  <c:v>58.094795799398071</c:v>
                </c:pt>
                <c:pt idx="28">
                  <c:v>57.89466319716243</c:v>
                </c:pt>
                <c:pt idx="29">
                  <c:v>57.694524352477529</c:v>
                </c:pt>
                <c:pt idx="30">
                  <c:v>57.494378971810832</c:v>
                </c:pt>
                <c:pt idx="31">
                  <c:v>57.294226747860449</c:v>
                </c:pt>
                <c:pt idx="32">
                  <c:v>57.094067358911744</c:v>
                </c:pt>
                <c:pt idx="33">
                  <c:v>56.893900468165334</c:v>
                </c:pt>
                <c:pt idx="34">
                  <c:v>56.69372572303331</c:v>
                </c:pt>
                <c:pt idx="35">
                  <c:v>56.493542754403414</c:v>
                </c:pt>
                <c:pt idx="36">
                  <c:v>56.293351175868992</c:v>
                </c:pt>
                <c:pt idx="37">
                  <c:v>56.093150582923961</c:v>
                </c:pt>
                <c:pt idx="38">
                  <c:v>55.892940552120223</c:v>
                </c:pt>
                <c:pt idx="39">
                  <c:v>55.692720640186877</c:v>
                </c:pt>
                <c:pt idx="40">
                  <c:v>55.492490383108745</c:v>
                </c:pt>
                <c:pt idx="41">
                  <c:v>55.292249295162918</c:v>
                </c:pt>
                <c:pt idx="42">
                  <c:v>55.091996867911035</c:v>
                </c:pt>
                <c:pt idx="43">
                  <c:v>54.891732569145518</c:v>
                </c:pt>
                <c:pt idx="44">
                  <c:v>54.691455841788354</c:v>
                </c:pt>
                <c:pt idx="45">
                  <c:v>54.491166102738617</c:v>
                </c:pt>
                <c:pt idx="46">
                  <c:v>54.290862741669116</c:v>
                </c:pt>
                <c:pt idx="47">
                  <c:v>54.090545119766809</c:v>
                </c:pt>
                <c:pt idx="48">
                  <c:v>53.890212568417965</c:v>
                </c:pt>
                <c:pt idx="49">
                  <c:v>53.689864387831875</c:v>
                </c:pt>
                <c:pt idx="50">
                  <c:v>53.489499845604797</c:v>
                </c:pt>
                <c:pt idx="51">
                  <c:v>53.289118175217098</c:v>
                </c:pt>
                <c:pt idx="52">
                  <c:v>53.088718574464686</c:v>
                </c:pt>
                <c:pt idx="53">
                  <c:v>52.888300203819078</c:v>
                </c:pt>
                <c:pt idx="54">
                  <c:v>52.687862184714703</c:v>
                </c:pt>
                <c:pt idx="55">
                  <c:v>52.487403597759858</c:v>
                </c:pt>
                <c:pt idx="56">
                  <c:v>52.28692348086782</c:v>
                </c:pt>
                <c:pt idx="57">
                  <c:v>52.086420827306398</c:v>
                </c:pt>
                <c:pt idx="58">
                  <c:v>51.885894583658931</c:v>
                </c:pt>
                <c:pt idx="59">
                  <c:v>51.68534364769868</c:v>
                </c:pt>
                <c:pt idx="60">
                  <c:v>51.484766866167419</c:v>
                </c:pt>
                <c:pt idx="61">
                  <c:v>51.284163032457862</c:v>
                </c:pt>
                <c:pt idx="62">
                  <c:v>51.083530884195952</c:v>
                </c:pt>
                <c:pt idx="63">
                  <c:v>50.882869100716846</c:v>
                </c:pt>
                <c:pt idx="64">
                  <c:v>50.682176300433248</c:v>
                </c:pt>
                <c:pt idx="65">
                  <c:v>50.481451038089787</c:v>
                </c:pt>
                <c:pt idx="66">
                  <c:v>50.280691801900154</c:v>
                </c:pt>
                <c:pt idx="67">
                  <c:v>50.079897010562476</c:v>
                </c:pt>
                <c:pt idx="68">
                  <c:v>49.879065010148722</c:v>
                </c:pt>
                <c:pt idx="69">
                  <c:v>49.678194070862396</c:v>
                </c:pt>
                <c:pt idx="70">
                  <c:v>49.47728238366053</c:v>
                </c:pt>
                <c:pt idx="71">
                  <c:v>49.27632805673607</c:v>
                </c:pt>
                <c:pt idx="72">
                  <c:v>49.075329111854238</c:v>
                </c:pt>
                <c:pt idx="73">
                  <c:v>48.874283480538537</c:v>
                </c:pt>
                <c:pt idx="74">
                  <c:v>48.673189000101644</c:v>
                </c:pt>
                <c:pt idx="75">
                  <c:v>48.47204340951631</c:v>
                </c:pt>
                <c:pt idx="76">
                  <c:v>48.27084434511994</c:v>
                </c:pt>
                <c:pt idx="77">
                  <c:v>48.069589336149591</c:v>
                </c:pt>
                <c:pt idx="78">
                  <c:v>47.868275800100832</c:v>
                </c:pt>
                <c:pt idx="79">
                  <c:v>47.66690103790598</c:v>
                </c:pt>
                <c:pt idx="80">
                  <c:v>47.465462228927102</c:v>
                </c:pt>
                <c:pt idx="81">
                  <c:v>47.263956425757513</c:v>
                </c:pt>
                <c:pt idx="82">
                  <c:v>47.062380548828827</c:v>
                </c:pt>
                <c:pt idx="83">
                  <c:v>46.860731380817349</c:v>
                </c:pt>
                <c:pt idx="84">
                  <c:v>46.659005560845969</c:v>
                </c:pt>
                <c:pt idx="85">
                  <c:v>46.457199578477038</c:v>
                </c:pt>
                <c:pt idx="86">
                  <c:v>46.255309767492612</c:v>
                </c:pt>
                <c:pt idx="87">
                  <c:v>46.053332299457665</c:v>
                </c:pt>
                <c:pt idx="88">
                  <c:v>45.85126317706407</c:v>
                </c:pt>
                <c:pt idx="89">
                  <c:v>45.649098227251173</c:v>
                </c:pt>
                <c:pt idx="90">
                  <c:v>45.446833094101116</c:v>
                </c:pt>
                <c:pt idx="91">
                  <c:v>45.244463231508192</c:v>
                </c:pt>
                <c:pt idx="92">
                  <c:v>45.041983895618984</c:v>
                </c:pt>
                <c:pt idx="93">
                  <c:v>44.839390137044646</c:v>
                </c:pt>
                <c:pt idx="94">
                  <c:v>44.636676792845591</c:v>
                </c:pt>
                <c:pt idx="95">
                  <c:v>44.433838478288934</c:v>
                </c:pt>
                <c:pt idx="96">
                  <c:v>44.230869578382325</c:v>
                </c:pt>
                <c:pt idx="97">
                  <c:v>44.027764239187768</c:v>
                </c:pt>
                <c:pt idx="98">
                  <c:v>43.824516358919865</c:v>
                </c:pt>
                <c:pt idx="99">
                  <c:v>43.621119578835554</c:v>
                </c:pt>
                <c:pt idx="100">
                  <c:v>43.417567273923197</c:v>
                </c:pt>
                <c:pt idx="101">
                  <c:v>43.213852543400833</c:v>
                </c:pt>
                <c:pt idx="102">
                  <c:v>43.009968201036237</c:v>
                </c:pt>
                <c:pt idx="103">
                  <c:v>42.805906765301856</c:v>
                </c:pt>
                <c:pt idx="104">
                  <c:v>42.601660449381534</c:v>
                </c:pt>
                <c:pt idx="105">
                  <c:v>42.397221151048143</c:v>
                </c:pt>
                <c:pt idx="106">
                  <c:v>42.192580442433695</c:v>
                </c:pt>
                <c:pt idx="107">
                  <c:v>41.987729559716733</c:v>
                </c:pt>
                <c:pt idx="108">
                  <c:v>41.782659392755185</c:v>
                </c:pt>
                <c:pt idx="109">
                  <c:v>41.577360474696675</c:v>
                </c:pt>
                <c:pt idx="110">
                  <c:v>41.371822971600658</c:v>
                </c:pt>
                <c:pt idx="111">
                  <c:v>41.166036672113691</c:v>
                </c:pt>
                <c:pt idx="112">
                  <c:v>40.95999097723989</c:v>
                </c:pt>
                <c:pt idx="113">
                  <c:v>40.753674890256761</c:v>
                </c:pt>
                <c:pt idx="114">
                  <c:v>40.547077006829085</c:v>
                </c:pt>
                <c:pt idx="115">
                  <c:v>40.340185505379942</c:v>
                </c:pt>
                <c:pt idx="116">
                  <c:v>40.132988137783897</c:v>
                </c:pt>
                <c:pt idx="117">
                  <c:v>39.925472220451852</c:v>
                </c:pt>
                <c:pt idx="118">
                  <c:v>39.717624625885051</c:v>
                </c:pt>
                <c:pt idx="119">
                  <c:v>39.509431774780325</c:v>
                </c:pt>
                <c:pt idx="120">
                  <c:v>39.300879628777984</c:v>
                </c:pt>
                <c:pt idx="121">
                  <c:v>39.091953683947274</c:v>
                </c:pt>
                <c:pt idx="122">
                  <c:v>38.882638965114694</c:v>
                </c:pt>
                <c:pt idx="123">
                  <c:v>38.672920021146624</c:v>
                </c:pt>
                <c:pt idx="124">
                  <c:v>38.462780921304955</c:v>
                </c:pt>
                <c:pt idx="125">
                  <c:v>38.252205252802263</c:v>
                </c:pt>
                <c:pt idx="126">
                  <c:v>38.041176119691926</c:v>
                </c:pt>
                <c:pt idx="127">
                  <c:v>37.829676143233826</c:v>
                </c:pt>
                <c:pt idx="128">
                  <c:v>37.617687463887194</c:v>
                </c:pt>
                <c:pt idx="129">
                  <c:v>37.40519174508524</c:v>
                </c:pt>
                <c:pt idx="130">
                  <c:v>37.192170178958108</c:v>
                </c:pt>
                <c:pt idx="131">
                  <c:v>36.978603494173406</c:v>
                </c:pt>
                <c:pt idx="132">
                  <c:v>36.764471966070957</c:v>
                </c:pt>
                <c:pt idx="133">
                  <c:v>36.549755429275173</c:v>
                </c:pt>
                <c:pt idx="134">
                  <c:v>36.334433292970317</c:v>
                </c:pt>
                <c:pt idx="135">
                  <c:v>36.118484559029739</c:v>
                </c:pt>
                <c:pt idx="136">
                  <c:v>35.901887843191169</c:v>
                </c:pt>
                <c:pt idx="137">
                  <c:v>35.684621399471624</c:v>
                </c:pt>
                <c:pt idx="138">
                  <c:v>35.466663148013964</c:v>
                </c:pt>
                <c:pt idx="139">
                  <c:v>35.24799070655601</c:v>
                </c:pt>
                <c:pt idx="140">
                  <c:v>35.028581425706591</c:v>
                </c:pt>
                <c:pt idx="141">
                  <c:v>34.808412428207568</c:v>
                </c:pt>
                <c:pt idx="142">
                  <c:v>34.587460652351581</c:v>
                </c:pt>
                <c:pt idx="143">
                  <c:v>34.365702899710982</c:v>
                </c:pt>
                <c:pt idx="144">
                  <c:v>34.143115887321144</c:v>
                </c:pt>
                <c:pt idx="145">
                  <c:v>33.919676304441666</c:v>
                </c:pt>
                <c:pt idx="146">
                  <c:v>33.695360873997181</c:v>
                </c:pt>
                <c:pt idx="147">
                  <c:v>33.470146418775244</c:v>
                </c:pt>
                <c:pt idx="148">
                  <c:v>33.244009932429897</c:v>
                </c:pt>
                <c:pt idx="149">
                  <c:v>33.016928655306508</c:v>
                </c:pt>
                <c:pt idx="150">
                  <c:v>32.788880155068931</c:v>
                </c:pt>
                <c:pt idx="151">
                  <c:v>32.559842412067098</c:v>
                </c:pt>
                <c:pt idx="152">
                  <c:v>32.329793909344062</c:v>
                </c:pt>
                <c:pt idx="153">
                  <c:v>32.09871372712891</c:v>
                </c:pt>
                <c:pt idx="154">
                  <c:v>31.866581641617209</c:v>
                </c:pt>
                <c:pt idx="155">
                  <c:v>31.633378227781947</c:v>
                </c:pt>
                <c:pt idx="156">
                  <c:v>31.399084965904901</c:v>
                </c:pt>
                <c:pt idx="157">
                  <c:v>31.163684351459516</c:v>
                </c:pt>
                <c:pt idx="158">
                  <c:v>30.92716000791377</c:v>
                </c:pt>
                <c:pt idx="159">
                  <c:v>30.689496801964466</c:v>
                </c:pt>
                <c:pt idx="160">
                  <c:v>30.450680960648878</c:v>
                </c:pt>
                <c:pt idx="161">
                  <c:v>30.21070018972074</c:v>
                </c:pt>
                <c:pt idx="162">
                  <c:v>29.969543792618538</c:v>
                </c:pt>
                <c:pt idx="163">
                  <c:v>29.727202789294253</c:v>
                </c:pt>
                <c:pt idx="164">
                  <c:v>29.483670034119307</c:v>
                </c:pt>
                <c:pt idx="165">
                  <c:v>29.23894033203382</c:v>
                </c:pt>
                <c:pt idx="166">
                  <c:v>28.993010552060454</c:v>
                </c:pt>
                <c:pt idx="167">
                  <c:v>28.745879737267302</c:v>
                </c:pt>
                <c:pt idx="168">
                  <c:v>28.497549210234226</c:v>
                </c:pt>
                <c:pt idx="169">
                  <c:v>28.248022673053551</c:v>
                </c:pt>
                <c:pt idx="170">
                  <c:v>27.997306300885754</c:v>
                </c:pt>
                <c:pt idx="171">
                  <c:v>27.745408828086799</c:v>
                </c:pt>
                <c:pt idx="172">
                  <c:v>27.492341625933587</c:v>
                </c:pt>
                <c:pt idx="173">
                  <c:v>27.238118770991676</c:v>
                </c:pt>
                <c:pt idx="174">
                  <c:v>26.982757103205582</c:v>
                </c:pt>
                <c:pt idx="175">
                  <c:v>26.726276272829381</c:v>
                </c:pt>
                <c:pt idx="176">
                  <c:v>26.468698775377053</c:v>
                </c:pt>
                <c:pt idx="177">
                  <c:v>26.210049973835471</c:v>
                </c:pt>
                <c:pt idx="178">
                  <c:v>25.950358107463675</c:v>
                </c:pt>
                <c:pt idx="179">
                  <c:v>25.689654286591448</c:v>
                </c:pt>
                <c:pt idx="180">
                  <c:v>25.427972472928868</c:v>
                </c:pt>
                <c:pt idx="181">
                  <c:v>25.16534944501046</c:v>
                </c:pt>
                <c:pt idx="182">
                  <c:v>24.901824748510215</c:v>
                </c:pt>
                <c:pt idx="183">
                  <c:v>24.637440631290008</c:v>
                </c:pt>
                <c:pt idx="184">
                  <c:v>24.372241963173327</c:v>
                </c:pt>
                <c:pt idx="185">
                  <c:v>24.106276140563821</c:v>
                </c:pt>
                <c:pt idx="186">
                  <c:v>23.839592976169644</c:v>
                </c:pt>
                <c:pt idx="187">
                  <c:v>23.572244574222978</c:v>
                </c:pt>
                <c:pt idx="188">
                  <c:v>23.304285191721075</c:v>
                </c:pt>
                <c:pt idx="189">
                  <c:v>23.035771086345949</c:v>
                </c:pt>
                <c:pt idx="190">
                  <c:v>22.766760351843441</c:v>
                </c:pt>
                <c:pt idx="191">
                  <c:v>22.497312741765271</c:v>
                </c:pt>
                <c:pt idx="192">
                  <c:v>22.227489482587742</c:v>
                </c:pt>
                <c:pt idx="193">
                  <c:v>21.957353077325426</c:v>
                </c:pt>
                <c:pt idx="194">
                  <c:v>21.686967100850598</c:v>
                </c:pt>
                <c:pt idx="195">
                  <c:v>21.416395988210137</c:v>
                </c:pt>
                <c:pt idx="196">
                  <c:v>21.14570481730189</c:v>
                </c:pt>
                <c:pt idx="197">
                  <c:v>20.874959087328087</c:v>
                </c:pt>
                <c:pt idx="198">
                  <c:v>20.604224494484225</c:v>
                </c:pt>
                <c:pt idx="199">
                  <c:v>20.333566706370817</c:v>
                </c:pt>
                <c:pt idx="200">
                  <c:v>20.063051136627976</c:v>
                </c:pt>
                <c:pt idx="201">
                  <c:v>19.792742721288541</c:v>
                </c:pt>
                <c:pt idx="202">
                  <c:v>19.522705698333166</c:v>
                </c:pt>
                <c:pt idx="203">
                  <c:v>19.253003391892673</c:v>
                </c:pt>
                <c:pt idx="204">
                  <c:v>18.983698002503726</c:v>
                </c:pt>
                <c:pt idx="205">
                  <c:v>18.714850404758732</c:v>
                </c:pt>
                <c:pt idx="206">
                  <c:v>18.446519953621781</c:v>
                </c:pt>
                <c:pt idx="207">
                  <c:v>18.178764300594828</c:v>
                </c:pt>
                <c:pt idx="208">
                  <c:v>17.911639220825229</c:v>
                </c:pt>
                <c:pt idx="209">
                  <c:v>17.645198452137013</c:v>
                </c:pt>
                <c:pt idx="210">
                  <c:v>17.379493546854508</c:v>
                </c:pt>
                <c:pt idx="211">
                  <c:v>17.114573737167781</c:v>
                </c:pt>
                <c:pt idx="212">
                  <c:v>16.850485814656238</c:v>
                </c:pt>
                <c:pt idx="213">
                  <c:v>16.587274024460946</c:v>
                </c:pt>
                <c:pt idx="214">
                  <c:v>16.324979974459012</c:v>
                </c:pt>
                <c:pt idx="215">
                  <c:v>16.06364255965816</c:v>
                </c:pt>
                <c:pt idx="216">
                  <c:v>15.803297901898661</c:v>
                </c:pt>
                <c:pt idx="217">
                  <c:v>15.543979304813947</c:v>
                </c:pt>
                <c:pt idx="218">
                  <c:v>15.285717223878777</c:v>
                </c:pt>
                <c:pt idx="219">
                  <c:v>15.028539251248043</c:v>
                </c:pt>
                <c:pt idx="220">
                  <c:v>14.772470114977697</c:v>
                </c:pt>
                <c:pt idx="221">
                  <c:v>14.517531692110619</c:v>
                </c:pt>
                <c:pt idx="222">
                  <c:v>14.26374303501543</c:v>
                </c:pt>
                <c:pt idx="223">
                  <c:v>14.011120410277725</c:v>
                </c:pt>
                <c:pt idx="224">
                  <c:v>13.759677349368529</c:v>
                </c:pt>
                <c:pt idx="225">
                  <c:v>13.509424710250924</c:v>
                </c:pt>
                <c:pt idx="226">
                  <c:v>13.260370749032548</c:v>
                </c:pt>
                <c:pt idx="227">
                  <c:v>13.012521200732333</c:v>
                </c:pt>
                <c:pt idx="228">
                  <c:v>12.765879368202086</c:v>
                </c:pt>
                <c:pt idx="229">
                  <c:v>12.520446218224546</c:v>
                </c:pt>
                <c:pt idx="230">
                  <c:v>12.276220483807949</c:v>
                </c:pt>
                <c:pt idx="231">
                  <c:v>12.033198771698238</c:v>
                </c:pt>
                <c:pt idx="232">
                  <c:v>11.791375674149823</c:v>
                </c:pt>
                <c:pt idx="233">
                  <c:v>11.550743884016107</c:v>
                </c:pt>
                <c:pt idx="234">
                  <c:v>11.311294312255519</c:v>
                </c:pt>
                <c:pt idx="235">
                  <c:v>11.073016206989852</c:v>
                </c:pt>
                <c:pt idx="236">
                  <c:v>10.835897273294234</c:v>
                </c:pt>
                <c:pt idx="237">
                  <c:v>10.59992379295187</c:v>
                </c:pt>
                <c:pt idx="238">
                  <c:v>10.365080743461597</c:v>
                </c:pt>
                <c:pt idx="239">
                  <c:v>10.131351915641932</c:v>
                </c:pt>
                <c:pt idx="240">
                  <c:v>9.8987200292393354</c:v>
                </c:pt>
                <c:pt idx="241">
                  <c:v>9.6671668460058306</c:v>
                </c:pt>
                <c:pt idx="242">
                  <c:v>9.4366732797758779</c:v>
                </c:pt>
                <c:pt idx="243">
                  <c:v>9.2072195031312347</c:v>
                </c:pt>
                <c:pt idx="244">
                  <c:v>8.97878505030355</c:v>
                </c:pt>
                <c:pt idx="245">
                  <c:v>8.7513489160212821</c:v>
                </c:pt>
                <c:pt idx="246">
                  <c:v>8.5248896500653011</c:v>
                </c:pt>
                <c:pt idx="247">
                  <c:v>8.2993854473473139</c:v>
                </c:pt>
                <c:pt idx="248">
                  <c:v>8.0748142333770172</c:v>
                </c:pt>
                <c:pt idx="249">
                  <c:v>7.8511537450303859</c:v>
                </c:pt>
                <c:pt idx="250">
                  <c:v>7.6283816065711179</c:v>
                </c:pt>
                <c:pt idx="251">
                  <c:v>7.4064754009207148</c:v>
                </c:pt>
                <c:pt idx="252">
                  <c:v>7.1854127362039311</c:v>
                </c:pt>
                <c:pt idx="253">
                  <c:v>6.9651713076288155</c:v>
                </c:pt>
                <c:pt idx="254">
                  <c:v>6.7457289547898558</c:v>
                </c:pt>
                <c:pt idx="255">
                  <c:v>6.5270637145043402</c:v>
                </c:pt>
                <c:pt idx="256">
                  <c:v>6.3091538693145388</c:v>
                </c:pt>
                <c:pt idx="257">
                  <c:v>6.0919779918038417</c:v>
                </c:pt>
                <c:pt idx="258">
                  <c:v>5.8755149848918968</c:v>
                </c:pt>
                <c:pt idx="259">
                  <c:v>5.6597441182816794</c:v>
                </c:pt>
                <c:pt idx="260">
                  <c:v>5.444645061243456</c:v>
                </c:pt>
                <c:pt idx="261">
                  <c:v>5.2301979119240807</c:v>
                </c:pt>
                <c:pt idx="262">
                  <c:v>5.0163832233762706</c:v>
                </c:pt>
                <c:pt idx="263">
                  <c:v>4.8031820265023848</c:v>
                </c:pt>
                <c:pt idx="264">
                  <c:v>4.5905758501095484</c:v>
                </c:pt>
                <c:pt idx="265">
                  <c:v>4.378546738269927</c:v>
                </c:pt>
                <c:pt idx="266">
                  <c:v>4.1670772651783814</c:v>
                </c:pt>
                <c:pt idx="267">
                  <c:v>3.9561505476948762</c:v>
                </c:pt>
                <c:pt idx="268">
                  <c:v>3.7457502557552944</c:v>
                </c:pt>
                <c:pt idx="269">
                  <c:v>3.5358606208272865</c:v>
                </c:pt>
                <c:pt idx="270">
                  <c:v>3.3264664425822716</c:v>
                </c:pt>
                <c:pt idx="271">
                  <c:v>3.1175530939476452</c:v>
                </c:pt>
                <c:pt idx="272">
                  <c:v>2.9091065246960222</c:v>
                </c:pt>
                <c:pt idx="273">
                  <c:v>2.7011132637189155</c:v>
                </c:pt>
                <c:pt idx="274">
                  <c:v>2.493560420128079</c:v>
                </c:pt>
                <c:pt idx="275">
                  <c:v>2.286435683315942</c:v>
                </c:pt>
                <c:pt idx="276">
                  <c:v>2.0797273220995449</c:v>
                </c:pt>
                <c:pt idx="277">
                  <c:v>1.8734241830671803</c:v>
                </c:pt>
                <c:pt idx="278">
                  <c:v>1.6675156882337143</c:v>
                </c:pt>
                <c:pt idx="279">
                  <c:v>1.461991832107514</c:v>
                </c:pt>
                <c:pt idx="280">
                  <c:v>1.256843178261575</c:v>
                </c:pt>
                <c:pt idx="281">
                  <c:v>1.0520608554934179</c:v>
                </c:pt>
                <c:pt idx="282">
                  <c:v>0.84763655365472412</c:v>
                </c:pt>
                <c:pt idx="283">
                  <c:v>0.64356251921768948</c:v>
                </c:pt>
                <c:pt idx="284">
                  <c:v>0.43983155064717216</c:v>
                </c:pt>
                <c:pt idx="285">
                  <c:v>0.23643699363049625</c:v>
                </c:pt>
                <c:pt idx="286">
                  <c:v>3.337273621983318E-2</c:v>
                </c:pt>
                <c:pt idx="287">
                  <c:v>-0.16936679606890476</c:v>
                </c:pt>
                <c:pt idx="288">
                  <c:v>-0.37178664516505477</c:v>
                </c:pt>
                <c:pt idx="289">
                  <c:v>-0.57389132532421194</c:v>
                </c:pt>
                <c:pt idx="290">
                  <c:v>-0.77568482795600335</c:v>
                </c:pt>
                <c:pt idx="291">
                  <c:v>-0.9771706263780251</c:v>
                </c:pt>
                <c:pt idx="292">
                  <c:v>-1.1783516804776597</c:v>
                </c:pt>
                <c:pt idx="293">
                  <c:v>-1.37923044127445</c:v>
                </c:pt>
                <c:pt idx="294">
                  <c:v>-1.579808855373164</c:v>
                </c:pt>
                <c:pt idx="295">
                  <c:v>-1.7800883693105465</c:v>
                </c:pt>
                <c:pt idx="296">
                  <c:v>-1.9800699337976388</c:v>
                </c:pt>
                <c:pt idx="297">
                  <c:v>-2.1797540078657822</c:v>
                </c:pt>
                <c:pt idx="298">
                  <c:v>-2.3791405629318065</c:v>
                </c:pt>
                <c:pt idx="299">
                  <c:v>-2.5782290867972542</c:v>
                </c:pt>
                <c:pt idx="300">
                  <c:v>-2.7770185876055558</c:v>
                </c:pt>
                <c:pt idx="301">
                  <c:v>-2.975507597782709</c:v>
                </c:pt>
                <c:pt idx="302">
                  <c:v>-3.1736941779918109</c:v>
                </c:pt>
                <c:pt idx="303">
                  <c:v>-3.3715759211365892</c:v>
                </c:pt>
                <c:pt idx="304">
                  <c:v>-3.5691499564515401</c:v>
                </c:pt>
                <c:pt idx="305">
                  <c:v>-3.7664129537219933</c:v>
                </c:pt>
                <c:pt idx="306">
                  <c:v>-3.9633611276803804</c:v>
                </c:pt>
                <c:pt idx="307">
                  <c:v>-4.159990242627142</c:v>
                </c:pt>
                <c:pt idx="308">
                  <c:v>-4.3562956173329042</c:v>
                </c:pt>
                <c:pt idx="309">
                  <c:v>-4.5522721302742406</c:v>
                </c:pt>
                <c:pt idx="310">
                  <c:v>-4.7479142252673716</c:v>
                </c:pt>
                <c:pt idx="311">
                  <c:v>-4.9432159175593906</c:v>
                </c:pt>
                <c:pt idx="312">
                  <c:v>-5.1381708004438327</c:v>
                </c:pt>
                <c:pt idx="313">
                  <c:v>-5.3327720524683269</c:v>
                </c:pt>
                <c:pt idx="314">
                  <c:v>-5.5270124453038676</c:v>
                </c:pt>
                <c:pt idx="315">
                  <c:v>-5.7208843523467117</c:v>
                </c:pt>
                <c:pt idx="316">
                  <c:v>-5.9143797581255351</c:v>
                </c:pt>
                <c:pt idx="317">
                  <c:v>-6.1074902685883163</c:v>
                </c:pt>
                <c:pt idx="318">
                  <c:v>-6.3002071223384162</c:v>
                </c:pt>
                <c:pt idx="319">
                  <c:v>-6.4925212028979873</c:v>
                </c:pt>
                <c:pt idx="320">
                  <c:v>-6.6844230520649131</c:v>
                </c:pt>
                <c:pt idx="321">
                  <c:v>-6.8759028844369849</c:v>
                </c:pt>
                <c:pt idx="322">
                  <c:v>-7.0669506031684213</c:v>
                </c:pt>
                <c:pt idx="323">
                  <c:v>-7.2575558170231567</c:v>
                </c:pt>
                <c:pt idx="324">
                  <c:v>-7.447707858785285</c:v>
                </c:pt>
                <c:pt idx="325">
                  <c:v>-7.6373958050805593</c:v>
                </c:pt>
                <c:pt idx="326">
                  <c:v>-7.8266084976580341</c:v>
                </c:pt>
                <c:pt idx="327">
                  <c:v>-8.0153345661758699</c:v>
                </c:pt>
                <c:pt idx="328">
                  <c:v>-8.2035624525240465</c:v>
                </c:pt>
                <c:pt idx="329">
                  <c:v>-8.3912804367126022</c:v>
                </c:pt>
                <c:pt idx="330">
                  <c:v>-8.5784766643429258</c:v>
                </c:pt>
                <c:pt idx="331">
                  <c:v>-8.7651391756706047</c:v>
                </c:pt>
                <c:pt idx="332">
                  <c:v>-8.9512559362576862</c:v>
                </c:pt>
                <c:pt idx="333">
                  <c:v>-9.1368148692030076</c:v>
                </c:pt>
                <c:pt idx="334">
                  <c:v>-9.3218038889274517</c:v>
                </c:pt>
                <c:pt idx="335">
                  <c:v>-9.5062109364794942</c:v>
                </c:pt>
                <c:pt idx="336">
                  <c:v>-9.6900240163159452</c:v>
                </c:pt>
                <c:pt idx="337">
                  <c:v>-9.873231234503093</c:v>
                </c:pt>
                <c:pt idx="338">
                  <c:v>-10.05582083827025</c:v>
                </c:pt>
                <c:pt idx="339">
                  <c:v>-10.23778125683984</c:v>
                </c:pt>
                <c:pt idx="340">
                  <c:v>-10.41910114344855</c:v>
                </c:pt>
                <c:pt idx="341">
                  <c:v>-10.599769418464781</c:v>
                </c:pt>
                <c:pt idx="342">
                  <c:v>-10.779775313501315</c:v>
                </c:pt>
                <c:pt idx="343">
                  <c:v>-10.959108416415432</c:v>
                </c:pt>
                <c:pt idx="344">
                  <c:v>-11.137758717084171</c:v>
                </c:pt>
                <c:pt idx="345">
                  <c:v>-11.315716653838919</c:v>
                </c:pt>
                <c:pt idx="346">
                  <c:v>-11.492973160441348</c:v>
                </c:pt>
                <c:pt idx="347">
                  <c:v>-11.669519713481137</c:v>
                </c:pt>
                <c:pt idx="348">
                  <c:v>-11.845348380078534</c:v>
                </c:pt>
                <c:pt idx="349">
                  <c:v>-12.020451865774302</c:v>
                </c:pt>
                <c:pt idx="350">
                  <c:v>-12.194823562492385</c:v>
                </c:pt>
                <c:pt idx="351">
                  <c:v>-12.368457596464385</c:v>
                </c:pt>
                <c:pt idx="352">
                  <c:v>-12.54134887600685</c:v>
                </c:pt>
                <c:pt idx="353">
                  <c:v>-12.713493139046513</c:v>
                </c:pt>
                <c:pt idx="354">
                  <c:v>-12.884887000289339</c:v>
                </c:pt>
                <c:pt idx="355">
                  <c:v>-13.055527997931893</c:v>
                </c:pt>
                <c:pt idx="356">
                  <c:v>-13.225414639810875</c:v>
                </c:pt>
                <c:pt idx="357">
                  <c:v>-13.394546448886375</c:v>
                </c:pt>
                <c:pt idx="358">
                  <c:v>-13.56292400794684</c:v>
                </c:pt>
                <c:pt idx="359">
                  <c:v>-13.730549003416311</c:v>
                </c:pt>
                <c:pt idx="360">
                  <c:v>-13.897424268133658</c:v>
                </c:pt>
                <c:pt idx="361">
                  <c:v>-14.063553822956754</c:v>
                </c:pt>
                <c:pt idx="362">
                  <c:v>-14.228942917026776</c:v>
                </c:pt>
                <c:pt idx="363">
                  <c:v>-14.393598066506307</c:v>
                </c:pt>
                <c:pt idx="364">
                  <c:v>-14.557527091577033</c:v>
                </c:pt>
                <c:pt idx="365">
                  <c:v>-14.72073915145727</c:v>
                </c:pt>
                <c:pt idx="366">
                  <c:v>-14.883244777166</c:v>
                </c:pt>
                <c:pt idx="367">
                  <c:v>-15.04505590173013</c:v>
                </c:pt>
                <c:pt idx="368">
                  <c:v>-15.206185887497085</c:v>
                </c:pt>
                <c:pt idx="369">
                  <c:v>-15.366649550182068</c:v>
                </c:pt>
                <c:pt idx="370">
                  <c:v>-15.526463179250312</c:v>
                </c:pt>
                <c:pt idx="371">
                  <c:v>-15.685644554204874</c:v>
                </c:pt>
                <c:pt idx="372">
                  <c:v>-15.844212956326274</c:v>
                </c:pt>
                <c:pt idx="373">
                  <c:v>-16.002189175395728</c:v>
                </c:pt>
                <c:pt idx="374">
                  <c:v>-16.159595510917896</c:v>
                </c:pt>
                <c:pt idx="375">
                  <c:v>-16.316455767359866</c:v>
                </c:pt>
                <c:pt idx="376">
                  <c:v>-16.472795242930271</c:v>
                </c:pt>
                <c:pt idx="377">
                  <c:v>-16.628640711435288</c:v>
                </c:pt>
                <c:pt idx="378">
                  <c:v>-16.784020396782612</c:v>
                </c:pt>
                <c:pt idx="379">
                  <c:v>-16.938963939738777</c:v>
                </c:pt>
                <c:pt idx="380">
                  <c:v>-17.093502356602073</c:v>
                </c:pt>
                <c:pt idx="381">
                  <c:v>-17.247667989511598</c:v>
                </c:pt>
                <c:pt idx="382">
                  <c:v>-17.401494448192391</c:v>
                </c:pt>
                <c:pt idx="383">
                  <c:v>-17.555016543016933</c:v>
                </c:pt>
                <c:pt idx="384">
                  <c:v>-17.708270209362936</c:v>
                </c:pt>
                <c:pt idx="385">
                  <c:v>-17.861292423341656</c:v>
                </c:pt>
                <c:pt idx="386">
                  <c:v>-18.014121109087803</c:v>
                </c:pt>
                <c:pt idx="387">
                  <c:v>-18.166795037906745</c:v>
                </c:pt>
                <c:pt idx="388">
                  <c:v>-18.319353719691222</c:v>
                </c:pt>
                <c:pt idx="389">
                  <c:v>-18.471837287136402</c:v>
                </c:pt>
                <c:pt idx="390">
                  <c:v>-18.624286373386049</c:v>
                </c:pt>
                <c:pt idx="391">
                  <c:v>-18.776741983854279</c:v>
                </c:pt>
                <c:pt idx="392">
                  <c:v>-18.929245363061465</c:v>
                </c:pt>
                <c:pt idx="393">
                  <c:v>-19.081837857413454</c:v>
                </c:pt>
                <c:pt idx="394">
                  <c:v>-19.234560774927829</c:v>
                </c:pt>
                <c:pt idx="395">
                  <c:v>-19.387455242974973</c:v>
                </c:pt>
                <c:pt idx="396">
                  <c:v>-19.540562065150318</c:v>
                </c:pt>
                <c:pt idx="397">
                  <c:v>-19.693921578423733</c:v>
                </c:pt>
                <c:pt idx="398">
                  <c:v>-19.847573511729465</c:v>
                </c:pt>
                <c:pt idx="399">
                  <c:v>-20.00155684715665</c:v>
                </c:pt>
                <c:pt idx="400">
                  <c:v>-20.155909684878811</c:v>
                </c:pt>
                <c:pt idx="401">
                  <c:v>-20.310669112928185</c:v>
                </c:pt>
                <c:pt idx="402">
                  <c:v>-20.465871082863405</c:v>
                </c:pt>
                <c:pt idx="403">
                  <c:v>-20.621550292313749</c:v>
                </c:pt>
                <c:pt idx="404">
                  <c:v>-20.7777400753004</c:v>
                </c:pt>
                <c:pt idx="405">
                  <c:v>-20.934472301141472</c:v>
                </c:pt>
                <c:pt idx="406">
                  <c:v>-21.091777282644905</c:v>
                </c:pt>
                <c:pt idx="407">
                  <c:v>-21.249683694178458</c:v>
                </c:pt>
                <c:pt idx="408">
                  <c:v>-21.408218500092016</c:v>
                </c:pt>
                <c:pt idx="409">
                  <c:v>-21.567406893843675</c:v>
                </c:pt>
                <c:pt idx="410">
                  <c:v>-21.727272248058615</c:v>
                </c:pt>
                <c:pt idx="411">
                  <c:v>-21.887836075628464</c:v>
                </c:pt>
                <c:pt idx="412">
                  <c:v>-22.049118001839226</c:v>
                </c:pt>
                <c:pt idx="413">
                  <c:v>-22.211135747401052</c:v>
                </c:pt>
                <c:pt idx="414">
                  <c:v>-22.373905122146347</c:v>
                </c:pt>
                <c:pt idx="415">
                  <c:v>-22.537440029060267</c:v>
                </c:pt>
                <c:pt idx="416">
                  <c:v>-22.701752478220001</c:v>
                </c:pt>
                <c:pt idx="417">
                  <c:v>-22.86685261013438</c:v>
                </c:pt>
                <c:pt idx="418">
                  <c:v>-23.032748727909684</c:v>
                </c:pt>
                <c:pt idx="419">
                  <c:v>-23.199447337605747</c:v>
                </c:pt>
                <c:pt idx="420">
                  <c:v>-23.366953196099587</c:v>
                </c:pt>
                <c:pt idx="421">
                  <c:v>-23.53526936574195</c:v>
                </c:pt>
                <c:pt idx="422">
                  <c:v>-23.704397275061325</c:v>
                </c:pt>
                <c:pt idx="423">
                  <c:v>-23.874336784763642</c:v>
                </c:pt>
                <c:pt idx="424">
                  <c:v>-24.045086258268078</c:v>
                </c:pt>
                <c:pt idx="425">
                  <c:v>-24.216642636026663</c:v>
                </c:pt>
                <c:pt idx="426">
                  <c:v>-24.389001512892218</c:v>
                </c:pt>
                <c:pt idx="427">
                  <c:v>-24.56215721781847</c:v>
                </c:pt>
                <c:pt idx="428">
                  <c:v>-24.736102895209662</c:v>
                </c:pt>
                <c:pt idx="429">
                  <c:v>-24.910830587268151</c:v>
                </c:pt>
                <c:pt idx="430">
                  <c:v>-25.086331316730185</c:v>
                </c:pt>
                <c:pt idx="431">
                  <c:v>-25.262595169424969</c:v>
                </c:pt>
                <c:pt idx="432">
                  <c:v>-25.439611376133424</c:v>
                </c:pt>
                <c:pt idx="433">
                  <c:v>-25.617368393276301</c:v>
                </c:pt>
                <c:pt idx="434">
                  <c:v>-25.795853982007255</c:v>
                </c:pt>
                <c:pt idx="435">
                  <c:v>-25.975055285335799</c:v>
                </c:pt>
                <c:pt idx="436">
                  <c:v>-26.154958902953179</c:v>
                </c:pt>
                <c:pt idx="437">
                  <c:v>-26.335550963484561</c:v>
                </c:pt>
                <c:pt idx="438">
                  <c:v>-26.516817193931573</c:v>
                </c:pt>
                <c:pt idx="439">
                  <c:v>-26.698742986118358</c:v>
                </c:pt>
                <c:pt idx="440">
                  <c:v>-26.881313459991848</c:v>
                </c:pt>
                <c:pt idx="441">
                  <c:v>-27.064513523667664</c:v>
                </c:pt>
                <c:pt idx="442">
                  <c:v>-27.248327930148598</c:v>
                </c:pt>
                <c:pt idx="443">
                  <c:v>-27.432741330674503</c:v>
                </c:pt>
                <c:pt idx="444">
                  <c:v>-27.617738324694212</c:v>
                </c:pt>
                <c:pt idx="445">
                  <c:v>-27.803303506474904</c:v>
                </c:pt>
                <c:pt idx="446">
                  <c:v>-27.989421508390357</c:v>
                </c:pt>
                <c:pt idx="447">
                  <c:v>-28.176077040947586</c:v>
                </c:pt>
                <c:pt idx="448">
                  <c:v>-28.36325492963255</c:v>
                </c:pt>
                <c:pt idx="449">
                  <c:v>-28.550940148669</c:v>
                </c:pt>
                <c:pt idx="450">
                  <c:v>-28.739117851797701</c:v>
                </c:pt>
                <c:pt idx="451">
                  <c:v>-28.92777340019386</c:v>
                </c:pt>
                <c:pt idx="452">
                  <c:v>-29.116892387649603</c:v>
                </c:pt>
                <c:pt idx="453">
                  <c:v>-29.306460663153505</c:v>
                </c:pt>
                <c:pt idx="454">
                  <c:v>-29.496464351003638</c:v>
                </c:pt>
                <c:pt idx="455">
                  <c:v>-29.686889868594907</c:v>
                </c:pt>
                <c:pt idx="456">
                  <c:v>-29.877723942020531</c:v>
                </c:pt>
                <c:pt idx="457">
                  <c:v>-30.068953619629688</c:v>
                </c:pt>
                <c:pt idx="458">
                  <c:v>-30.260566283681204</c:v>
                </c:pt>
                <c:pt idx="459">
                  <c:v>-30.452549660230353</c:v>
                </c:pt>
                <c:pt idx="460">
                  <c:v>-30.644891827385898</c:v>
                </c:pt>
                <c:pt idx="461">
                  <c:v>-30.837581222066266</c:v>
                </c:pt>
                <c:pt idx="462">
                  <c:v>-31.030606645385227</c:v>
                </c:pt>
                <c:pt idx="463">
                  <c:v>-31.223957266788371</c:v>
                </c:pt>
                <c:pt idx="464">
                  <c:v>-31.417622627058499</c:v>
                </c:pt>
                <c:pt idx="465">
                  <c:v>-31.611592640304092</c:v>
                </c:pt>
                <c:pt idx="466">
                  <c:v>-31.805857595036731</c:v>
                </c:pt>
                <c:pt idx="467">
                  <c:v>-32.000408154442482</c:v>
                </c:pt>
                <c:pt idx="468">
                  <c:v>-32.195235355941044</c:v>
                </c:pt>
                <c:pt idx="469">
                  <c:v>-32.390330610126142</c:v>
                </c:pt>
                <c:pt idx="470">
                  <c:v>-32.58568569917319</c:v>
                </c:pt>
                <c:pt idx="471">
                  <c:v>-32.781292774793862</c:v>
                </c:pt>
                <c:pt idx="472">
                  <c:v>-32.977144355815163</c:v>
                </c:pt>
                <c:pt idx="473">
                  <c:v>-33.173233325451989</c:v>
                </c:pt>
                <c:pt idx="474">
                  <c:v>-33.369552928341278</c:v>
                </c:pt>
                <c:pt idx="475">
                  <c:v>-33.566096767396381</c:v>
                </c:pt>
                <c:pt idx="476">
                  <c:v>-33.762858800543249</c:v>
                </c:pt>
                <c:pt idx="477">
                  <c:v>-33.959833337386407</c:v>
                </c:pt>
                <c:pt idx="478">
                  <c:v>-34.157015035858024</c:v>
                </c:pt>
                <c:pt idx="479">
                  <c:v>-34.354398898893088</c:v>
                </c:pt>
                <c:pt idx="480">
                  <c:v>-34.551980271174209</c:v>
                </c:pt>
                <c:pt idx="481">
                  <c:v>-34.749754835982934</c:v>
                </c:pt>
                <c:pt idx="482">
                  <c:v>-34.947718612196248</c:v>
                </c:pt>
                <c:pt idx="483">
                  <c:v>-35.145867951458143</c:v>
                </c:pt>
                <c:pt idx="484">
                  <c:v>-35.344199535558069</c:v>
                </c:pt>
                <c:pt idx="485">
                  <c:v>-35.542710374044859</c:v>
                </c:pt>
                <c:pt idx="486">
                  <c:v>-35.74139780210033</c:v>
                </c:pt>
                <c:pt idx="487">
                  <c:v>-35.94025947869693</c:v>
                </c:pt>
                <c:pt idx="488">
                  <c:v>-36.139293385060967</c:v>
                </c:pt>
                <c:pt idx="489">
                  <c:v>-36.338497823462752</c:v>
                </c:pt>
                <c:pt idx="490">
                  <c:v>-36.537871416348651</c:v>
                </c:pt>
                <c:pt idx="491">
                  <c:v>-36.737413105836694</c:v>
                </c:pt>
                <c:pt idx="492">
                  <c:v>-36.93712215358741</c:v>
                </c:pt>
                <c:pt idx="493">
                  <c:v>-37.136998141066393</c:v>
                </c:pt>
                <c:pt idx="494">
                  <c:v>-37.337040970211149</c:v>
                </c:pt>
                <c:pt idx="495">
                  <c:v>-37.53725086451535</c:v>
                </c:pt>
                <c:pt idx="496">
                  <c:v>-37.737628370539689</c:v>
                </c:pt>
                <c:pt idx="497">
                  <c:v>-37.938174359863467</c:v>
                </c:pt>
                <c:pt idx="498">
                  <c:v>-38.138890031482063</c:v>
                </c:pt>
                <c:pt idx="499">
                  <c:v>-38.339776914662835</c:v>
                </c:pt>
                <c:pt idx="500">
                  <c:v>-38.540836872265601</c:v>
                </c:pt>
                <c:pt idx="501">
                  <c:v>-38.742072104535168</c:v>
                </c:pt>
                <c:pt idx="502">
                  <c:v>-38.94348515337385</c:v>
                </c:pt>
                <c:pt idx="503">
                  <c:v>-39.145078907097925</c:v>
                </c:pt>
                <c:pt idx="504">
                  <c:v>-39.34685660568497</c:v>
                </c:pt>
                <c:pt idx="505">
                  <c:v>-39.548821846515963</c:v>
                </c:pt>
                <c:pt idx="506">
                  <c:v>-39.750978590615162</c:v>
                </c:pt>
                <c:pt idx="507">
                  <c:v>-39.953331169392058</c:v>
                </c:pt>
                <c:pt idx="508">
                  <c:v>-40.15588429188643</c:v>
                </c:pt>
                <c:pt idx="509">
                  <c:v>-40.358643052517856</c:v>
                </c:pt>
                <c:pt idx="510">
                  <c:v>-40.56161293933976</c:v>
                </c:pt>
                <c:pt idx="511">
                  <c:v>-40.764799842796684</c:v>
                </c:pt>
                <c:pt idx="512">
                  <c:v>-40.96821006498346</c:v>
                </c:pt>
                <c:pt idx="513">
                  <c:v>-41.171850329401316</c:v>
                </c:pt>
                <c:pt idx="514">
                  <c:v>-41.375727791207069</c:v>
                </c:pt>
                <c:pt idx="515">
                  <c:v>-41.579850047947566</c:v>
                </c:pt>
                <c:pt idx="516">
                  <c:v>-41.78422515077208</c:v>
                </c:pt>
                <c:pt idx="517">
                  <c:v>-41.988861616110775</c:v>
                </c:pt>
                <c:pt idx="518">
                  <c:v>-42.193768437808558</c:v>
                </c:pt>
                <c:pt idx="519">
                  <c:v>-42.398955099697027</c:v>
                </c:pt>
                <c:pt idx="520">
                  <c:v>-42.604431588588831</c:v>
                </c:pt>
                <c:pt idx="521">
                  <c:v>-42.810208407673159</c:v>
                </c:pt>
                <c:pt idx="522">
                  <c:v>-43.016296590289159</c:v>
                </c:pt>
                <c:pt idx="523">
                  <c:v>-43.222707714050053</c:v>
                </c:pt>
                <c:pt idx="524">
                  <c:v>-43.42945391528815</c:v>
                </c:pt>
                <c:pt idx="525">
                  <c:v>-43.636547903786848</c:v>
                </c:pt>
                <c:pt idx="526">
                  <c:v>-43.844002977758691</c:v>
                </c:pt>
                <c:pt idx="527">
                  <c:v>-44.05183303902966</c:v>
                </c:pt>
                <c:pt idx="528">
                  <c:v>-44.260052608379581</c:v>
                </c:pt>
                <c:pt idx="529">
                  <c:v>-44.468676840985964</c:v>
                </c:pt>
                <c:pt idx="530">
                  <c:v>-44.677721541912845</c:v>
                </c:pt>
                <c:pt idx="531">
                  <c:v>-44.887203181580702</c:v>
                </c:pt>
                <c:pt idx="532">
                  <c:v>-45.097138911144626</c:v>
                </c:pt>
                <c:pt idx="533">
                  <c:v>-45.307546577706063</c:v>
                </c:pt>
                <c:pt idx="534">
                  <c:v>-45.51844473927239</c:v>
                </c:pt>
                <c:pt idx="535">
                  <c:v>-45.729852679373259</c:v>
                </c:pt>
                <c:pt idx="536">
                  <c:v>-45.941790421234742</c:v>
                </c:pt>
                <c:pt idx="537">
                  <c:v>-46.154278741405818</c:v>
                </c:pt>
                <c:pt idx="538">
                  <c:v>-46.367339182721032</c:v>
                </c:pt>
                <c:pt idx="539">
                  <c:v>-46.580994066478169</c:v>
                </c:pt>
                <c:pt idx="540">
                  <c:v>-46.795266503699239</c:v>
                </c:pt>
                <c:pt idx="541">
                  <c:v>-47.010180405335198</c:v>
                </c:pt>
              </c:numCache>
            </c:numRef>
          </c:yVal>
          <c:smooth val="1"/>
          <c:extLst>
            <c:ext xmlns:c16="http://schemas.microsoft.com/office/drawing/2014/chart" uri="{C3380CC4-5D6E-409C-BE32-E72D297353CC}">
              <c16:uniqueId val="{00000000-8173-45EB-83AD-B179A66292B6}"/>
            </c:ext>
          </c:extLst>
        </c:ser>
        <c:dLbls>
          <c:showLegendKey val="0"/>
          <c:showVal val="0"/>
          <c:showCatName val="0"/>
          <c:showSerName val="0"/>
          <c:showPercent val="0"/>
          <c:showBubbleSize val="0"/>
        </c:dLbls>
        <c:axId val="555528192"/>
        <c:axId val="55553011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89.521730717765564</c:v>
                </c:pt>
                <c:pt idx="1">
                  <c:v>89.510593488848329</c:v>
                </c:pt>
                <c:pt idx="2">
                  <c:v>89.499197061758181</c:v>
                </c:pt>
                <c:pt idx="3">
                  <c:v>89.487535414808974</c:v>
                </c:pt>
                <c:pt idx="4">
                  <c:v>89.475602387181809</c:v>
                </c:pt>
                <c:pt idx="5">
                  <c:v>89.463391675764868</c:v>
                </c:pt>
                <c:pt idx="6">
                  <c:v>89.450896831925647</c:v>
                </c:pt>
                <c:pt idx="7">
                  <c:v>89.438111258213894</c:v>
                </c:pt>
                <c:pt idx="8">
                  <c:v>89.425028204994618</c:v>
                </c:pt>
                <c:pt idx="9">
                  <c:v>89.411640767009501</c:v>
                </c:pt>
                <c:pt idx="10">
                  <c:v>89.397941879866039</c:v>
                </c:pt>
                <c:pt idx="11">
                  <c:v>89.38392431645299</c:v>
                </c:pt>
                <c:pt idx="12">
                  <c:v>89.369580683280773</c:v>
                </c:pt>
                <c:pt idx="13">
                  <c:v>89.35490341674641</c:v>
                </c:pt>
                <c:pt idx="14">
                  <c:v>89.339884779321125</c:v>
                </c:pt>
                <c:pt idx="15">
                  <c:v>89.324516855659837</c:v>
                </c:pt>
                <c:pt idx="16">
                  <c:v>89.308791548631817</c:v>
                </c:pt>
                <c:pt idx="17">
                  <c:v>89.292700575270757</c:v>
                </c:pt>
                <c:pt idx="18">
                  <c:v>89.276235462644053</c:v>
                </c:pt>
                <c:pt idx="19">
                  <c:v>89.259387543639576</c:v>
                </c:pt>
                <c:pt idx="20">
                  <c:v>89.242147952669796</c:v>
                </c:pt>
                <c:pt idx="21">
                  <c:v>89.224507621291664</c:v>
                </c:pt>
                <c:pt idx="22">
                  <c:v>89.206457273742075</c:v>
                </c:pt>
                <c:pt idx="23">
                  <c:v>89.187987422387579</c:v>
                </c:pt>
                <c:pt idx="24">
                  <c:v>89.169088363088306</c:v>
                </c:pt>
                <c:pt idx="25">
                  <c:v>89.149750170474846</c:v>
                </c:pt>
                <c:pt idx="26">
                  <c:v>89.129962693138268</c:v>
                </c:pt>
                <c:pt idx="27">
                  <c:v>89.109715548731984</c:v>
                </c:pt>
                <c:pt idx="28">
                  <c:v>89.088998118986268</c:v>
                </c:pt>
                <c:pt idx="29">
                  <c:v>89.067799544634056</c:v>
                </c:pt>
                <c:pt idx="30">
                  <c:v>89.046108720248924</c:v>
                </c:pt>
                <c:pt idx="31">
                  <c:v>89.023914288994661</c:v>
                </c:pt>
                <c:pt idx="32">
                  <c:v>89.001204637287103</c:v>
                </c:pt>
                <c:pt idx="33">
                  <c:v>88.977967889368145</c:v>
                </c:pt>
                <c:pt idx="34">
                  <c:v>88.95419190179301</c:v>
                </c:pt>
                <c:pt idx="35">
                  <c:v>88.929864257831127</c:v>
                </c:pt>
                <c:pt idx="36">
                  <c:v>88.904972261781779</c:v>
                </c:pt>
                <c:pt idx="37">
                  <c:v>88.879502933205671</c:v>
                </c:pt>
                <c:pt idx="38">
                  <c:v>88.853443001073742</c:v>
                </c:pt>
                <c:pt idx="39">
                  <c:v>88.826778897835425</c:v>
                </c:pt>
                <c:pt idx="40">
                  <c:v>88.799496753407567</c:v>
                </c:pt>
                <c:pt idx="41">
                  <c:v>88.771582389087214</c:v>
                </c:pt>
                <c:pt idx="42">
                  <c:v>88.743021311390024</c:v>
                </c:pt>
                <c:pt idx="43">
                  <c:v>88.713798705818434</c:v>
                </c:pt>
                <c:pt idx="44">
                  <c:v>88.683899430562079</c:v>
                </c:pt>
                <c:pt idx="45">
                  <c:v>88.653308010134722</c:v>
                </c:pt>
                <c:pt idx="46">
                  <c:v>88.622008628952258</c:v>
                </c:pt>
                <c:pt idx="47">
                  <c:v>88.589985124856241</c:v>
                </c:pt>
                <c:pt idx="48">
                  <c:v>88.557220982588774</c:v>
                </c:pt>
                <c:pt idx="49">
                  <c:v>88.52369932722425</c:v>
                </c:pt>
                <c:pt idx="50">
                  <c:v>88.489402917565016</c:v>
                </c:pt>
                <c:pt idx="51">
                  <c:v>88.454314139508</c:v>
                </c:pt>
                <c:pt idx="52">
                  <c:v>88.418414999390436</c:v>
                </c:pt>
                <c:pt idx="53">
                  <c:v>88.381687117323182</c:v>
                </c:pt>
                <c:pt idx="54">
                  <c:v>88.34411172052188</c:v>
                </c:pt>
                <c:pt idx="55">
                  <c:v>88.305669636645959</c:v>
                </c:pt>
                <c:pt idx="56">
                  <c:v>88.266341287156934</c:v>
                </c:pt>
                <c:pt idx="57">
                  <c:v>88.226106680708995</c:v>
                </c:pt>
                <c:pt idx="58">
                  <c:v>88.184945406585172</c:v>
                </c:pt>
                <c:pt idx="59">
                  <c:v>88.142836628193848</c:v>
                </c:pt>
                <c:pt idx="60">
                  <c:v>88.09975907664186</c:v>
                </c:pt>
                <c:pt idx="61">
                  <c:v>88.055691044401769</c:v>
                </c:pt>
                <c:pt idx="62">
                  <c:v>88.010610379091517</c:v>
                </c:pt>
                <c:pt idx="63">
                  <c:v>87.964494477387774</c:v>
                </c:pt>
                <c:pt idx="64">
                  <c:v>87.917320279094298</c:v>
                </c:pt>
                <c:pt idx="65">
                  <c:v>87.869064261389667</c:v>
                </c:pt>
                <c:pt idx="66">
                  <c:v>87.819702433279673</c:v>
                </c:pt>
                <c:pt idx="67">
                  <c:v>87.769210330282334</c:v>
                </c:pt>
                <c:pt idx="68">
                  <c:v>87.717563009375269</c:v>
                </c:pt>
                <c:pt idx="69">
                  <c:v>87.664735044237602</c:v>
                </c:pt>
                <c:pt idx="70">
                  <c:v>87.6107005208206</c:v>
                </c:pt>
                <c:pt idx="71">
                  <c:v>87.555433033284757</c:v>
                </c:pt>
                <c:pt idx="72">
                  <c:v>87.498905680342375</c:v>
                </c:pt>
                <c:pt idx="73">
                  <c:v>87.441091062048883</c:v>
                </c:pt>
                <c:pt idx="74">
                  <c:v>87.381961277088166</c:v>
                </c:pt>
                <c:pt idx="75">
                  <c:v>87.321487920601754</c:v>
                </c:pt>
                <c:pt idx="76">
                  <c:v>87.259642082612956</c:v>
                </c:pt>
                <c:pt idx="77">
                  <c:v>87.19639434710372</c:v>
                </c:pt>
                <c:pt idx="78">
                  <c:v>87.131714791802551</c:v>
                </c:pt>
                <c:pt idx="79">
                  <c:v>87.065572988748983</c:v>
                </c:pt>
                <c:pt idx="80">
                  <c:v>86.9979380057014</c:v>
                </c:pt>
                <c:pt idx="81">
                  <c:v>86.928778408462961</c:v>
                </c:pt>
                <c:pt idx="82">
                  <c:v>86.858062264201251</c:v>
                </c:pt>
                <c:pt idx="83">
                  <c:v>86.785757145845736</c:v>
                </c:pt>
                <c:pt idx="84">
                  <c:v>86.71183013765102</c:v>
                </c:pt>
                <c:pt idx="85">
                  <c:v>86.636247842017795</c:v>
                </c:pt>
                <c:pt idx="86">
                  <c:v>86.558976387672999</c:v>
                </c:pt>
                <c:pt idx="87">
                  <c:v>86.479981439312667</c:v>
                </c:pt>
                <c:pt idx="88">
                  <c:v>86.399228208820773</c:v>
                </c:pt>
                <c:pt idx="89">
                  <c:v>86.316681468180789</c:v>
                </c:pt>
                <c:pt idx="90">
                  <c:v>86.2323055642063</c:v>
                </c:pt>
                <c:pt idx="91">
                  <c:v>86.14606443522328</c:v>
                </c:pt>
                <c:pt idx="92">
                  <c:v>86.057921629842383</c:v>
                </c:pt>
                <c:pt idx="93">
                  <c:v>85.967840327970052</c:v>
                </c:pt>
                <c:pt idx="94">
                  <c:v>85.875783364213575</c:v>
                </c:pt>
                <c:pt idx="95">
                  <c:v>85.781713253843378</c:v>
                </c:pt>
                <c:pt idx="96">
                  <c:v>85.685592221483176</c:v>
                </c:pt>
                <c:pt idx="97">
                  <c:v>85.587382232711889</c:v>
                </c:pt>
                <c:pt idx="98">
                  <c:v>85.487045028761415</c:v>
                </c:pt>
                <c:pt idx="99">
                  <c:v>85.384542164512865</c:v>
                </c:pt>
                <c:pt idx="100">
                  <c:v>85.279835049993679</c:v>
                </c:pt>
                <c:pt idx="101">
                  <c:v>85.17288499559416</c:v>
                </c:pt>
                <c:pt idx="102">
                  <c:v>85.063653261226904</c:v>
                </c:pt>
                <c:pt idx="103">
                  <c:v>84.952101109660333</c:v>
                </c:pt>
                <c:pt idx="104">
                  <c:v>84.83818986427076</c:v>
                </c:pt>
                <c:pt idx="105">
                  <c:v>84.721880971460678</c:v>
                </c:pt>
                <c:pt idx="106">
                  <c:v>84.603136068001064</c:v>
                </c:pt>
                <c:pt idx="107">
                  <c:v>84.48191705356399</c:v>
                </c:pt>
                <c:pt idx="108">
                  <c:v>84.358186168714894</c:v>
                </c:pt>
                <c:pt idx="109">
                  <c:v>84.231906078645451</c:v>
                </c:pt>
                <c:pt idx="110">
                  <c:v>84.10303996292528</c:v>
                </c:pt>
                <c:pt idx="111">
                  <c:v>83.971551611564351</c:v>
                </c:pt>
                <c:pt idx="112">
                  <c:v>83.837405527670498</c:v>
                </c:pt>
                <c:pt idx="113">
                  <c:v>83.700567036995977</c:v>
                </c:pt>
                <c:pt idx="114">
                  <c:v>83.561002404660897</c:v>
                </c:pt>
                <c:pt idx="115">
                  <c:v>83.418678959341491</c:v>
                </c:pt>
                <c:pt idx="116">
                  <c:v>83.273565225205829</c:v>
                </c:pt>
                <c:pt idx="117">
                  <c:v>83.125631061870806</c:v>
                </c:pt>
                <c:pt idx="118">
                  <c:v>82.97484781264653</c:v>
                </c:pt>
                <c:pt idx="119">
                  <c:v>82.821188461317192</c:v>
                </c:pt>
                <c:pt idx="120">
                  <c:v>82.664627797695047</c:v>
                </c:pt>
                <c:pt idx="121">
                  <c:v>82.505142592157284</c:v>
                </c:pt>
                <c:pt idx="122">
                  <c:v>82.342711779356222</c:v>
                </c:pt>
                <c:pt idx="123">
                  <c:v>82.177316651258394</c:v>
                </c:pt>
                <c:pt idx="124">
                  <c:v>82.008941059634793</c:v>
                </c:pt>
                <c:pt idx="125">
                  <c:v>81.837571628084817</c:v>
                </c:pt>
                <c:pt idx="126">
                  <c:v>81.663197973626183</c:v>
                </c:pt>
                <c:pt idx="127">
                  <c:v>81.485812937833458</c:v>
                </c:pt>
                <c:pt idx="128">
                  <c:v>81.305412827446446</c:v>
                </c:pt>
                <c:pt idx="129">
                  <c:v>81.121997664298178</c:v>
                </c:pt>
                <c:pt idx="130">
                  <c:v>80.935571444346337</c:v>
                </c:pt>
                <c:pt idx="131">
                  <c:v>80.746142405497423</c:v>
                </c:pt>
                <c:pt idx="132">
                  <c:v>80.553723303833053</c:v>
                </c:pt>
                <c:pt idx="133">
                  <c:v>80.358331697737611</c:v>
                </c:pt>
                <c:pt idx="134">
                  <c:v>80.159990239327044</c:v>
                </c:pt>
                <c:pt idx="135">
                  <c:v>79.958726972454571</c:v>
                </c:pt>
                <c:pt idx="136">
                  <c:v>79.754575636448308</c:v>
                </c:pt>
                <c:pt idx="137">
                  <c:v>79.54757597459718</c:v>
                </c:pt>
                <c:pt idx="138">
                  <c:v>79.337774046265494</c:v>
                </c:pt>
                <c:pt idx="139">
                  <c:v>79.125222541358269</c:v>
                </c:pt>
                <c:pt idx="140">
                  <c:v>78.909981095710734</c:v>
                </c:pt>
                <c:pt idx="141">
                  <c:v>78.692116605805495</c:v>
                </c:pt>
                <c:pt idx="142">
                  <c:v>78.471703541059057</c:v>
                </c:pt>
                <c:pt idx="143">
                  <c:v>78.248824251741581</c:v>
                </c:pt>
                <c:pt idx="144">
                  <c:v>78.023569270423167</c:v>
                </c:pt>
                <c:pt idx="145">
                  <c:v>77.796037604665486</c:v>
                </c:pt>
                <c:pt idx="146">
                  <c:v>77.566337018504399</c:v>
                </c:pt>
                <c:pt idx="147">
                  <c:v>77.334584300098257</c:v>
                </c:pt>
                <c:pt idx="148">
                  <c:v>77.100905512758871</c:v>
                </c:pt>
                <c:pt idx="149">
                  <c:v>76.865436226427136</c:v>
                </c:pt>
                <c:pt idx="150">
                  <c:v>76.628321726513221</c:v>
                </c:pt>
                <c:pt idx="151">
                  <c:v>76.389717196902865</c:v>
                </c:pt>
                <c:pt idx="152">
                  <c:v>76.14978787382266</c:v>
                </c:pt>
                <c:pt idx="153">
                  <c:v>75.908709167173498</c:v>
                </c:pt>
                <c:pt idx="154">
                  <c:v>75.666666745895967</c:v>
                </c:pt>
                <c:pt idx="155">
                  <c:v>75.42385658389486</c:v>
                </c:pt>
                <c:pt idx="156">
                  <c:v>75.18048496306902</c:v>
                </c:pt>
                <c:pt idx="157">
                  <c:v>74.936768430036324</c:v>
                </c:pt>
                <c:pt idx="158">
                  <c:v>74.69293370323345</c:v>
                </c:pt>
                <c:pt idx="159">
                  <c:v>74.449217527202194</c:v>
                </c:pt>
                <c:pt idx="160">
                  <c:v>74.205866471052531</c:v>
                </c:pt>
                <c:pt idx="161">
                  <c:v>73.963136668324083</c:v>
                </c:pt>
                <c:pt idx="162">
                  <c:v>73.721293495741293</c:v>
                </c:pt>
                <c:pt idx="163">
                  <c:v>73.480611188691014</c:v>
                </c:pt>
                <c:pt idx="164">
                  <c:v>73.241372391629397</c:v>
                </c:pt>
                <c:pt idx="165">
                  <c:v>73.003867642058552</c:v>
                </c:pt>
                <c:pt idx="166">
                  <c:v>72.768394787188356</c:v>
                </c:pt>
                <c:pt idx="167">
                  <c:v>72.535258332927995</c:v>
                </c:pt>
                <c:pt idx="168">
                  <c:v>72.304768725416864</c:v>
                </c:pt>
                <c:pt idx="169">
                  <c:v>72.077241565906235</c:v>
                </c:pt>
                <c:pt idx="170">
                  <c:v>71.852996760442664</c:v>
                </c:pt>
                <c:pt idx="171">
                  <c:v>71.632357606461028</c:v>
                </c:pt>
                <c:pt idx="172">
                  <c:v>71.415649819071817</c:v>
                </c:pt>
                <c:pt idx="173">
                  <c:v>71.203200500512096</c:v>
                </c:pt>
                <c:pt idx="174">
                  <c:v>70.995337056921016</c:v>
                </c:pt>
                <c:pt idx="175">
                  <c:v>70.792386067263308</c:v>
                </c:pt>
                <c:pt idx="176">
                  <c:v>70.594672109896138</c:v>
                </c:pt>
                <c:pt idx="177">
                  <c:v>70.402516552888727</c:v>
                </c:pt>
                <c:pt idx="178">
                  <c:v>70.216236314793477</c:v>
                </c:pt>
                <c:pt idx="179">
                  <c:v>70.036142603112921</c:v>
                </c:pt>
                <c:pt idx="180">
                  <c:v>69.862539638181843</c:v>
                </c:pt>
                <c:pt idx="181">
                  <c:v>69.695723370590898</c:v>
                </c:pt>
                <c:pt idx="182">
                  <c:v>69.535980200635123</c:v>
                </c:pt>
                <c:pt idx="183">
                  <c:v>69.383585708513067</c:v>
                </c:pt>
                <c:pt idx="184">
                  <c:v>69.238803404184836</c:v>
                </c:pt>
                <c:pt idx="185">
                  <c:v>69.101883505872351</c:v>
                </c:pt>
                <c:pt idx="186">
                  <c:v>68.973061756184407</c:v>
                </c:pt>
                <c:pt idx="187">
                  <c:v>68.852558284729199</c:v>
                </c:pt>
                <c:pt idx="188">
                  <c:v>68.740576525880201</c:v>
                </c:pt>
                <c:pt idx="189">
                  <c:v>68.637302200070948</c:v>
                </c:pt>
                <c:pt idx="190">
                  <c:v>68.542902366588308</c:v>
                </c:pt>
                <c:pt idx="191">
                  <c:v>68.457524555374178</c:v>
                </c:pt>
                <c:pt idx="192">
                  <c:v>68.381295984769736</c:v>
                </c:pt>
                <c:pt idx="193">
                  <c:v>68.314322871507059</c:v>
                </c:pt>
                <c:pt idx="194">
                  <c:v>68.256689838536545</c:v>
                </c:pt>
                <c:pt idx="195">
                  <c:v>68.208459425509417</c:v>
                </c:pt>
                <c:pt idx="196">
                  <c:v>68.169671705903653</c:v>
                </c:pt>
                <c:pt idx="197">
                  <c:v>68.140344013922089</c:v>
                </c:pt>
                <c:pt idx="198">
                  <c:v>68.120470783362919</c:v>
                </c:pt>
                <c:pt idx="199">
                  <c:v>68.110023499756394</c:v>
                </c:pt>
                <c:pt idx="200">
                  <c:v>68.108950766095148</c:v>
                </c:pt>
                <c:pt idx="201">
                  <c:v>68.117178481544897</c:v>
                </c:pt>
                <c:pt idx="202">
                  <c:v>68.134610131582903</c:v>
                </c:pt>
                <c:pt idx="203">
                  <c:v>68.161127187072779</c:v>
                </c:pt>
                <c:pt idx="204">
                  <c:v>68.196589608903835</c:v>
                </c:pt>
                <c:pt idx="205">
                  <c:v>68.240836453945548</c:v>
                </c:pt>
                <c:pt idx="206">
                  <c:v>68.293686577271032</c:v>
                </c:pt>
                <c:pt idx="207">
                  <c:v>68.354939424837127</c:v>
                </c:pt>
                <c:pt idx="208">
                  <c:v>68.42437591012353</c:v>
                </c:pt>
                <c:pt idx="209">
                  <c:v>68.501759367615122</c:v>
                </c:pt>
                <c:pt idx="210">
                  <c:v>68.586836575469107</c:v>
                </c:pt>
                <c:pt idx="211">
                  <c:v>68.679338839265881</c:v>
                </c:pt>
                <c:pt idx="212">
                  <c:v>68.778983128363521</c:v>
                </c:pt>
                <c:pt idx="213">
                  <c:v>68.885473256123632</c:v>
                </c:pt>
                <c:pt idx="214">
                  <c:v>68.998501095081451</c:v>
                </c:pt>
                <c:pt idx="215">
                  <c:v>69.117747818071749</c:v>
                </c:pt>
                <c:pt idx="216">
                  <c:v>69.242885156326707</c:v>
                </c:pt>
                <c:pt idx="217">
                  <c:v>69.373576665666405</c:v>
                </c:pt>
                <c:pt idx="218">
                  <c:v>69.509478992118488</c:v>
                </c:pt>
                <c:pt idx="219">
                  <c:v>69.650243128560945</c:v>
                </c:pt>
                <c:pt idx="220">
                  <c:v>69.79551565437022</c:v>
                </c:pt>
                <c:pt idx="221">
                  <c:v>69.944939950463962</c:v>
                </c:pt>
                <c:pt idx="222">
                  <c:v>70.098157382651607</c:v>
                </c:pt>
                <c:pt idx="223">
                  <c:v>70.254808446735765</c:v>
                </c:pt>
                <c:pt idx="224">
                  <c:v>70.414533869425284</c:v>
                </c:pt>
                <c:pt idx="225">
                  <c:v>70.576975659743255</c:v>
                </c:pt>
                <c:pt idx="226">
                  <c:v>70.741778106284713</c:v>
                </c:pt>
                <c:pt idx="227">
                  <c:v>70.908588716351503</c:v>
                </c:pt>
                <c:pt idx="228">
                  <c:v>71.077059093683175</c:v>
                </c:pt>
                <c:pt idx="229">
                  <c:v>71.246845752183077</c:v>
                </c:pt>
                <c:pt idx="230">
                  <c:v>71.417610863710024</c:v>
                </c:pt>
                <c:pt idx="231">
                  <c:v>71.589022938667227</c:v>
                </c:pt>
                <c:pt idx="232">
                  <c:v>71.76075743873561</c:v>
                </c:pt>
                <c:pt idx="233">
                  <c:v>71.932497321702101</c:v>
                </c:pt>
                <c:pt idx="234">
                  <c:v>72.103933518880467</c:v>
                </c:pt>
                <c:pt idx="235">
                  <c:v>72.274765346144065</c:v>
                </c:pt>
                <c:pt idx="236">
                  <c:v>72.444700850047411</c:v>
                </c:pt>
                <c:pt idx="237">
                  <c:v>72.613457090925365</c:v>
                </c:pt>
                <c:pt idx="238">
                  <c:v>72.780760365246934</c:v>
                </c:pt>
                <c:pt idx="239">
                  <c:v>72.94634636978293</c:v>
                </c:pt>
                <c:pt idx="240">
                  <c:v>73.109960310440087</c:v>
                </c:pt>
                <c:pt idx="241">
                  <c:v>73.271356958809264</c:v>
                </c:pt>
                <c:pt idx="242">
                  <c:v>73.430300659649276</c:v>
                </c:pt>
                <c:pt idx="243">
                  <c:v>73.586565292645119</c:v>
                </c:pt>
                <c:pt idx="244">
                  <c:v>73.739934191856776</c:v>
                </c:pt>
                <c:pt idx="245">
                  <c:v>73.890200026308989</c:v>
                </c:pt>
                <c:pt idx="246">
                  <c:v>74.037164645175125</c:v>
                </c:pt>
                <c:pt idx="247">
                  <c:v>74.18063889097246</c:v>
                </c:pt>
                <c:pt idx="248">
                  <c:v>74.320442384123012</c:v>
                </c:pt>
                <c:pt idx="249">
                  <c:v>74.456403282148784</c:v>
                </c:pt>
                <c:pt idx="250">
                  <c:v>74.588358016653132</c:v>
                </c:pt>
                <c:pt idx="251">
                  <c:v>74.716151011119422</c:v>
                </c:pt>
                <c:pt idx="252">
                  <c:v>74.8396343824094</c:v>
                </c:pt>
                <c:pt idx="253">
                  <c:v>74.95866762868323</c:v>
                </c:pt>
                <c:pt idx="254">
                  <c:v>75.073117306313478</c:v>
                </c:pt>
                <c:pt idx="255">
                  <c:v>75.182856698178398</c:v>
                </c:pt>
                <c:pt idx="256">
                  <c:v>75.287765475557208</c:v>
                </c:pt>
                <c:pt idx="257">
                  <c:v>75.387729355673642</c:v>
                </c:pt>
                <c:pt idx="258">
                  <c:v>75.482639756756399</c:v>
                </c:pt>
                <c:pt idx="259">
                  <c:v>75.572393452319886</c:v>
                </c:pt>
                <c:pt idx="260">
                  <c:v>75.656892226198465</c:v>
                </c:pt>
                <c:pt idx="261">
                  <c:v>75.736042529706395</c:v>
                </c:pt>
                <c:pt idx="262">
                  <c:v>75.809755142142279</c:v>
                </c:pt>
                <c:pt idx="263">
                  <c:v>75.877944835710039</c:v>
                </c:pt>
                <c:pt idx="264">
                  <c:v>75.940530045783532</c:v>
                </c:pt>
                <c:pt idx="265">
                  <c:v>75.997432547319875</c:v>
                </c:pt>
                <c:pt idx="266">
                  <c:v>76.048577138092597</c:v>
                </c:pt>
                <c:pt idx="267">
                  <c:v>76.093891329313365</c:v>
                </c:pt>
                <c:pt idx="268">
                  <c:v>76.133305044096375</c:v>
                </c:pt>
                <c:pt idx="269">
                  <c:v>76.16675032412779</c:v>
                </c:pt>
                <c:pt idx="270">
                  <c:v>76.194161044814308</c:v>
                </c:pt>
                <c:pt idx="271">
                  <c:v>76.215472639104917</c:v>
                </c:pt>
                <c:pt idx="272">
                  <c:v>76.230621830107594</c:v>
                </c:pt>
                <c:pt idx="273">
                  <c:v>76.239546372560142</c:v>
                </c:pt>
                <c:pt idx="274">
                  <c:v>76.24218480315713</c:v>
                </c:pt>
                <c:pt idx="275">
                  <c:v>76.238476199686602</c:v>
                </c:pt>
                <c:pt idx="276">
                  <c:v>76.228359948883991</c:v>
                </c:pt>
                <c:pt idx="277">
                  <c:v>76.211775522880487</c:v>
                </c:pt>
                <c:pt idx="278">
                  <c:v>76.188662264083305</c:v>
                </c:pt>
                <c:pt idx="279">
                  <c:v>76.158959178308493</c:v>
                </c:pt>
                <c:pt idx="280">
                  <c:v>76.12260473596055</c:v>
                </c:pt>
                <c:pt idx="281">
                  <c:v>76.079536681039912</c:v>
                </c:pt>
                <c:pt idx="282">
                  <c:v>76.029691847746619</c:v>
                </c:pt>
                <c:pt idx="283">
                  <c:v>75.973005984441798</c:v>
                </c:pt>
                <c:pt idx="284">
                  <c:v>75.909413584725016</c:v>
                </c:pt>
                <c:pt idx="285">
                  <c:v>75.838847725383161</c:v>
                </c:pt>
                <c:pt idx="286">
                  <c:v>75.76123991097154</c:v>
                </c:pt>
                <c:pt idx="287">
                  <c:v>75.676519924792629</c:v>
                </c:pt>
                <c:pt idx="288">
                  <c:v>75.584615686046149</c:v>
                </c:pt>
                <c:pt idx="289">
                  <c:v>75.485453112933271</c:v>
                </c:pt>
                <c:pt idx="290">
                  <c:v>75.378955991516861</c:v>
                </c:pt>
                <c:pt idx="291">
                  <c:v>75.265045850147402</c:v>
                </c:pt>
                <c:pt idx="292">
                  <c:v>75.143641839288492</c:v>
                </c:pt>
                <c:pt idx="293">
                  <c:v>75.014660616592124</c:v>
                </c:pt>
                <c:pt idx="294">
                  <c:v>74.878016237097427</c:v>
                </c:pt>
                <c:pt idx="295">
                  <c:v>74.733620048449623</c:v>
                </c:pt>
                <c:pt idx="296">
                  <c:v>74.581380591060494</c:v>
                </c:pt>
                <c:pt idx="297">
                  <c:v>74.421203503165785</c:v>
                </c:pt>
                <c:pt idx="298">
                  <c:v>74.252991430752587</c:v>
                </c:pt>
                <c:pt idx="299">
                  <c:v>74.076643942374631</c:v>
                </c:pt>
                <c:pt idx="300">
                  <c:v>73.892057448898029</c:v>
                </c:pt>
                <c:pt idx="301">
                  <c:v>73.699125128258771</c:v>
                </c:pt>
                <c:pt idx="302">
                  <c:v>73.49773685535034</c:v>
                </c:pt>
                <c:pt idx="303">
                  <c:v>73.287779137200062</c:v>
                </c:pt>
                <c:pt idx="304">
                  <c:v>73.069135053633147</c:v>
                </c:pt>
                <c:pt idx="305">
                  <c:v>72.841684203668649</c:v>
                </c:pt>
                <c:pt idx="306">
                  <c:v>72.605302657935397</c:v>
                </c:pt>
                <c:pt idx="307">
                  <c:v>72.359862917445682</c:v>
                </c:pt>
                <c:pt idx="308">
                  <c:v>72.105233879112561</c:v>
                </c:pt>
                <c:pt idx="309">
                  <c:v>71.841280808450222</c:v>
                </c:pt>
                <c:pt idx="310">
                  <c:v>71.567865319949107</c:v>
                </c:pt>
                <c:pt idx="311">
                  <c:v>71.28484536567197</c:v>
                </c:pt>
                <c:pt idx="312">
                  <c:v>70.992075232677337</c:v>
                </c:pt>
                <c:pt idx="313">
                  <c:v>70.689405549927756</c:v>
                </c:pt>
                <c:pt idx="314">
                  <c:v>70.376683305411191</c:v>
                </c:pt>
                <c:pt idx="315">
                  <c:v>70.053751874248093</c:v>
                </c:pt>
                <c:pt idx="316">
                  <c:v>69.720451058629678</c:v>
                </c:pt>
                <c:pt idx="317">
                  <c:v>69.376617140484584</c:v>
                </c:pt>
                <c:pt idx="318">
                  <c:v>69.022082947832345</c:v>
                </c:pt>
                <c:pt idx="319">
                  <c:v>68.656677935837607</c:v>
                </c:pt>
                <c:pt idx="320">
                  <c:v>68.280228283632738</c:v>
                </c:pt>
                <c:pt idx="321">
                  <c:v>67.892557008028575</c:v>
                </c:pt>
                <c:pt idx="322">
                  <c:v>67.493484095278575</c:v>
                </c:pt>
                <c:pt idx="323">
                  <c:v>67.082826652098092</c:v>
                </c:pt>
                <c:pt idx="324">
                  <c:v>66.660399077183257</c:v>
                </c:pt>
                <c:pt idx="325">
                  <c:v>66.226013254487356</c:v>
                </c:pt>
                <c:pt idx="326">
                  <c:v>65.779478769545065</c:v>
                </c:pt>
                <c:pt idx="327">
                  <c:v>65.320603150116895</c:v>
                </c:pt>
                <c:pt idx="328">
                  <c:v>64.849192132444784</c:v>
                </c:pt>
                <c:pt idx="329">
                  <c:v>64.365049954364906</c:v>
                </c:pt>
                <c:pt idx="330">
                  <c:v>63.867979676507474</c:v>
                </c:pt>
                <c:pt idx="331">
                  <c:v>63.357783532734857</c:v>
                </c:pt>
                <c:pt idx="332">
                  <c:v>62.834263310921763</c:v>
                </c:pt>
                <c:pt idx="333">
                  <c:v>62.29722076506512</c:v>
                </c:pt>
                <c:pt idx="334">
                  <c:v>61.746458059610227</c:v>
                </c:pt>
                <c:pt idx="335">
                  <c:v>61.181778246733828</c:v>
                </c:pt>
                <c:pt idx="336">
                  <c:v>60.602985777166516</c:v>
                </c:pt>
                <c:pt idx="337">
                  <c:v>60.009887044949643</c:v>
                </c:pt>
                <c:pt idx="338">
                  <c:v>59.402290966307525</c:v>
                </c:pt>
                <c:pt idx="339">
                  <c:v>58.780009592587007</c:v>
                </c:pt>
                <c:pt idx="340">
                  <c:v>58.142858756948876</c:v>
                </c:pt>
                <c:pt idx="341">
                  <c:v>57.490658754214444</c:v>
                </c:pt>
                <c:pt idx="342">
                  <c:v>56.823235052970631</c:v>
                </c:pt>
                <c:pt idx="343">
                  <c:v>56.140419038699612</c:v>
                </c:pt>
                <c:pt idx="344">
                  <c:v>55.442048786368261</c:v>
                </c:pt>
                <c:pt idx="345">
                  <c:v>54.727969860547127</c:v>
                </c:pt>
                <c:pt idx="346">
                  <c:v>53.998036140759005</c:v>
                </c:pt>
                <c:pt idx="347">
                  <c:v>53.252110669389602</c:v>
                </c:pt>
                <c:pt idx="348">
                  <c:v>52.490066519101482</c:v>
                </c:pt>
                <c:pt idx="349">
                  <c:v>51.711787676327262</c:v>
                </c:pt>
                <c:pt idx="350">
                  <c:v>50.917169937041038</c:v>
                </c:pt>
                <c:pt idx="351">
                  <c:v>50.106121810660746</c:v>
                </c:pt>
                <c:pt idx="352">
                  <c:v>49.278565427580567</c:v>
                </c:pt>
                <c:pt idx="353">
                  <c:v>48.43443744554353</c:v>
                </c:pt>
                <c:pt idx="354">
                  <c:v>47.573689949755277</c:v>
                </c:pt>
                <c:pt idx="355">
                  <c:v>46.696291341418473</c:v>
                </c:pt>
                <c:pt idx="356">
                  <c:v>45.802227209139588</c:v>
                </c:pt>
                <c:pt idx="357">
                  <c:v>44.891501177510079</c:v>
                </c:pt>
                <c:pt idx="358">
                  <c:v>43.964135727051115</c:v>
                </c:pt>
                <c:pt idx="359">
                  <c:v>43.020172979648066</c:v>
                </c:pt>
                <c:pt idx="360">
                  <c:v>42.059675443592972</c:v>
                </c:pt>
                <c:pt idx="361">
                  <c:v>41.082726712420666</c:v>
                </c:pt>
                <c:pt idx="362">
                  <c:v>40.089432111813139</c:v>
                </c:pt>
                <c:pt idx="363">
                  <c:v>39.079919289038706</c:v>
                </c:pt>
                <c:pt idx="364">
                  <c:v>38.054338739595352</c:v>
                </c:pt>
                <c:pt idx="365">
                  <c:v>37.012864266030626</c:v>
                </c:pt>
                <c:pt idx="366">
                  <c:v>35.955693364224061</c:v>
                </c:pt>
                <c:pt idx="367">
                  <c:v>34.883047532816875</c:v>
                </c:pt>
                <c:pt idx="368">
                  <c:v>33.79517250188794</c:v>
                </c:pt>
                <c:pt idx="369">
                  <c:v>32.692338377459208</c:v>
                </c:pt>
                <c:pt idx="370">
                  <c:v>31.574839698900902</c:v>
                </c:pt>
                <c:pt idx="371">
                  <c:v>30.442995406845569</c:v>
                </c:pt>
                <c:pt idx="372">
                  <c:v>29.297148719787174</c:v>
                </c:pt>
                <c:pt idx="373">
                  <c:v>28.137666918096155</c:v>
                </c:pt>
                <c:pt idx="374">
                  <c:v>26.964941034782491</c:v>
                </c:pt>
                <c:pt idx="375">
                  <c:v>25.779385452927354</c:v>
                </c:pt>
                <c:pt idx="376">
                  <c:v>24.581437410281481</c:v>
                </c:pt>
                <c:pt idx="377">
                  <c:v>23.3715564121391</c:v>
                </c:pt>
                <c:pt idx="378">
                  <c:v>22.150223554142599</c:v>
                </c:pt>
                <c:pt idx="379">
                  <c:v>20.917940757251525</c:v>
                </c:pt>
                <c:pt idx="380">
                  <c:v>19.675229917633146</c:v>
                </c:pt>
                <c:pt idx="381">
                  <c:v>18.422631974761316</c:v>
                </c:pt>
                <c:pt idx="382">
                  <c:v>17.160705901469544</c:v>
                </c:pt>
                <c:pt idx="383">
                  <c:v>15.8900276201922</c:v>
                </c:pt>
                <c:pt idx="384">
                  <c:v>14.611188850021286</c:v>
                </c:pt>
                <c:pt idx="385">
                  <c:v>13.32479588960506</c:v>
                </c:pt>
                <c:pt idx="386">
                  <c:v>12.031468341268027</c:v>
                </c:pt>
                <c:pt idx="387">
                  <c:v>10.731837782032891</c:v>
                </c:pt>
                <c:pt idx="388">
                  <c:v>9.4265463875091537</c:v>
                </c:pt>
                <c:pt idx="389">
                  <c:v>8.1162455148372477</c:v>
                </c:pt>
                <c:pt idx="390">
                  <c:v>6.8015942510886616</c:v>
                </c:pt>
                <c:pt idx="391">
                  <c:v>5.4832579336571596</c:v>
                </c:pt>
                <c:pt idx="392">
                  <c:v>4.1619066493113746</c:v>
                </c:pt>
                <c:pt idx="393">
                  <c:v>2.8382137186560028</c:v>
                </c:pt>
                <c:pt idx="394">
                  <c:v>1.5128541727774034</c:v>
                </c:pt>
                <c:pt idx="395">
                  <c:v>0.18650322886457157</c:v>
                </c:pt>
                <c:pt idx="396">
                  <c:v>-1.1401652284384176</c:v>
                </c:pt>
                <c:pt idx="397">
                  <c:v>-2.4664801532755543</c:v>
                </c:pt>
                <c:pt idx="398">
                  <c:v>-3.7917748258373334</c:v>
                </c:pt>
                <c:pt idx="399">
                  <c:v>-5.1153883142190217</c:v>
                </c:pt>
                <c:pt idx="400">
                  <c:v>-6.4366669046224114</c:v>
                </c:pt>
                <c:pt idx="401">
                  <c:v>-7.7549654938876333</c:v>
                </c:pt>
                <c:pt idx="402">
                  <c:v>-9.0696489385687471</c:v>
                </c:pt>
                <c:pt idx="403">
                  <c:v>-10.380093355078948</c:v>
                </c:pt>
                <c:pt idx="404">
                  <c:v>-11.685687365734859</c:v>
                </c:pt>
                <c:pt idx="405">
                  <c:v>-12.985833285890186</c:v>
                </c:pt>
                <c:pt idx="406">
                  <c:v>-14.279948247736373</c:v>
                </c:pt>
                <c:pt idx="407">
                  <c:v>-15.567465256753186</c:v>
                </c:pt>
                <c:pt idx="408">
                  <c:v>-16.847834177239168</c:v>
                </c:pt>
                <c:pt idx="409">
                  <c:v>-18.120522643808062</c:v>
                </c:pt>
                <c:pt idx="410">
                  <c:v>-19.385016896225274</c:v>
                </c:pt>
                <c:pt idx="411">
                  <c:v>-20.640822535444325</c:v>
                </c:pt>
                <c:pt idx="412">
                  <c:v>-21.887465199234423</c:v>
                </c:pt>
                <c:pt idx="413">
                  <c:v>-23.124491156278253</c:v>
                </c:pt>
                <c:pt idx="414">
                  <c:v>-24.351467818155296</c:v>
                </c:pt>
                <c:pt idx="415">
                  <c:v>-25.567984169139613</c:v>
                </c:pt>
                <c:pt idx="416">
                  <c:v>-26.77365111423596</c:v>
                </c:pt>
                <c:pt idx="417">
                  <c:v>-27.968101746381087</c:v>
                </c:pt>
                <c:pt idx="418">
                  <c:v>-29.150991534203936</c:v>
                </c:pt>
                <c:pt idx="419">
                  <c:v>-30.321998432194626</c:v>
                </c:pt>
                <c:pt idx="420">
                  <c:v>-31.480822915546458</c:v>
                </c:pt>
                <c:pt idx="421">
                  <c:v>-32.627187942337862</c:v>
                </c:pt>
                <c:pt idx="422">
                  <c:v>-33.760838846060054</c:v>
                </c:pt>
                <c:pt idx="423">
                  <c:v>-34.881543161836468</c:v>
                </c:pt>
                <c:pt idx="424">
                  <c:v>-35.989090389928975</c:v>
                </c:pt>
                <c:pt idx="425">
                  <c:v>-37.08329170039277</c:v>
                </c:pt>
                <c:pt idx="426">
                  <c:v>-38.163979582910052</c:v>
                </c:pt>
                <c:pt idx="427">
                  <c:v>-39.231007445990635</c:v>
                </c:pt>
                <c:pt idx="428">
                  <c:v>-40.284249169840663</c:v>
                </c:pt>
                <c:pt idx="429">
                  <c:v>-41.323598617265937</c:v>
                </c:pt>
                <c:pt idx="430">
                  <c:v>-42.348969106983333</c:v>
                </c:pt>
                <c:pt idx="431">
                  <c:v>-43.360292853739395</c:v>
                </c:pt>
                <c:pt idx="432">
                  <c:v>-44.357520379541889</c:v>
                </c:pt>
                <c:pt idx="433">
                  <c:v>-45.340619900275009</c:v>
                </c:pt>
                <c:pt idx="434">
                  <c:v>-46.309576691824972</c:v>
                </c:pt>
                <c:pt idx="435">
                  <c:v>-47.264392439721306</c:v>
                </c:pt>
                <c:pt idx="436">
                  <c:v>-48.205084576144031</c:v>
                </c:pt>
                <c:pt idx="437">
                  <c:v>-49.13168560795701</c:v>
                </c:pt>
                <c:pt idx="438">
                  <c:v>-50.044242439240165</c:v>
                </c:pt>
                <c:pt idx="439">
                  <c:v>-50.942815691583377</c:v>
                </c:pt>
                <c:pt idx="440">
                  <c:v>-51.827479025188623</c:v>
                </c:pt>
                <c:pt idx="441">
                  <c:v>-52.698318463599584</c:v>
                </c:pt>
                <c:pt idx="442">
                  <c:v>-53.555431724653452</c:v>
                </c:pt>
                <c:pt idx="443">
                  <c:v>-54.398927560019125</c:v>
                </c:pt>
                <c:pt idx="444">
                  <c:v>-55.228925105459545</c:v>
                </c:pt>
                <c:pt idx="445">
                  <c:v>-56.045553243726332</c:v>
                </c:pt>
                <c:pt idx="446">
                  <c:v>-56.848949981784457</c:v>
                </c:pt>
                <c:pt idx="447">
                  <c:v>-57.639261843843848</c:v>
                </c:pt>
                <c:pt idx="448">
                  <c:v>-58.416643281475999</c:v>
                </c:pt>
                <c:pt idx="449">
                  <c:v>-59.181256101894625</c:v>
                </c:pt>
                <c:pt idx="450">
                  <c:v>-59.933268915301284</c:v>
                </c:pt>
                <c:pt idx="451">
                  <c:v>-60.672856602011443</c:v>
                </c:pt>
                <c:pt idx="452">
                  <c:v>-61.400199799927869</c:v>
                </c:pt>
                <c:pt idx="453">
                  <c:v>-62.115484412768403</c:v>
                </c:pt>
                <c:pt idx="454">
                  <c:v>-62.818901139312686</c:v>
                </c:pt>
                <c:pt idx="455">
                  <c:v>-63.510645023818782</c:v>
                </c:pt>
                <c:pt idx="456">
                  <c:v>-64.190915027624584</c:v>
                </c:pt>
                <c:pt idx="457">
                  <c:v>-64.859913621865502</c:v>
                </c:pt>
                <c:pt idx="458">
                  <c:v>-65.517846401125993</c:v>
                </c:pt>
                <c:pt idx="459">
                  <c:v>-66.164921717772103</c:v>
                </c:pt>
                <c:pt idx="460">
                  <c:v>-66.801350336634485</c:v>
                </c:pt>
                <c:pt idx="461">
                  <c:v>-67.427345109642744</c:v>
                </c:pt>
                <c:pt idx="462">
                  <c:v>-68.043120669966498</c:v>
                </c:pt>
                <c:pt idx="463">
                  <c:v>-68.648893145157629</c:v>
                </c:pt>
                <c:pt idx="464">
                  <c:v>-69.244879888766562</c:v>
                </c:pt>
                <c:pt idx="465">
                  <c:v>-69.831299229851368</c:v>
                </c:pt>
                <c:pt idx="466">
                  <c:v>-70.408370239795346</c:v>
                </c:pt>
                <c:pt idx="467">
                  <c:v>-70.976312515810449</c:v>
                </c:pt>
                <c:pt idx="468">
                  <c:v>-71.535345980500537</c:v>
                </c:pt>
                <c:pt idx="469">
                  <c:v>-72.085690696844821</c:v>
                </c:pt>
                <c:pt idx="470">
                  <c:v>-72.627566697955771</c:v>
                </c:pt>
                <c:pt idx="471">
                  <c:v>-73.161193830968841</c:v>
                </c:pt>
                <c:pt idx="472">
                  <c:v>-73.686791614414787</c:v>
                </c:pt>
                <c:pt idx="473">
                  <c:v>-74.204579108442246</c:v>
                </c:pt>
                <c:pt idx="474">
                  <c:v>-74.714774797253284</c:v>
                </c:pt>
                <c:pt idx="475">
                  <c:v>-75.217596483133804</c:v>
                </c:pt>
                <c:pt idx="476">
                  <c:v>-75.713261191466557</c:v>
                </c:pt>
                <c:pt idx="477">
                  <c:v>-76.20198508613008</c:v>
                </c:pt>
                <c:pt idx="478">
                  <c:v>-76.683983394699723</c:v>
                </c:pt>
                <c:pt idx="479">
                  <c:v>-77.159470342883324</c:v>
                </c:pt>
                <c:pt idx="480">
                  <c:v>-77.628659097638632</c:v>
                </c:pt>
                <c:pt idx="481">
                  <c:v>-78.091761718435649</c:v>
                </c:pt>
                <c:pt idx="482">
                  <c:v>-78.548989116146998</c:v>
                </c:pt>
                <c:pt idx="483">
                  <c:v>-79.000551019060183</c:v>
                </c:pt>
                <c:pt idx="484">
                  <c:v>-79.446655945528605</c:v>
                </c:pt>
                <c:pt idx="485">
                  <c:v>-79.887511182789837</c:v>
                </c:pt>
                <c:pt idx="486">
                  <c:v>-80.323322771499022</c:v>
                </c:pt>
                <c:pt idx="487">
                  <c:v>-80.754295495539765</c:v>
                </c:pt>
                <c:pt idx="488">
                  <c:v>-81.180632876689174</c:v>
                </c:pt>
                <c:pt idx="489">
                  <c:v>-81.602537173731534</c:v>
                </c:pt>
                <c:pt idx="490">
                  <c:v>-82.020209385626274</c:v>
                </c:pt>
                <c:pt idx="491">
                  <c:v>-82.433849258350065</c:v>
                </c:pt>
                <c:pt idx="492">
                  <c:v>-82.84365529504673</c:v>
                </c:pt>
                <c:pt idx="493">
                  <c:v>-83.249824769129333</c:v>
                </c:pt>
                <c:pt idx="494">
                  <c:v>-83.652553739989557</c:v>
                </c:pt>
                <c:pt idx="495">
                  <c:v>-84.052037070982095</c:v>
                </c:pt>
                <c:pt idx="496">
                  <c:v>-84.448468449357193</c:v>
                </c:pt>
                <c:pt idx="497">
                  <c:v>-84.842040407826502</c:v>
                </c:pt>
                <c:pt idx="498">
                  <c:v>-85.232944347453468</c:v>
                </c:pt>
                <c:pt idx="499">
                  <c:v>-85.621370561565826</c:v>
                </c:pt>
                <c:pt idx="500">
                  <c:v>-86.007508260393863</c:v>
                </c:pt>
                <c:pt idx="501">
                  <c:v>-86.391545596143729</c:v>
                </c:pt>
                <c:pt idx="502">
                  <c:v>-86.773669688216657</c:v>
                </c:pt>
                <c:pt idx="503">
                  <c:v>-87.154066648292158</c:v>
                </c:pt>
                <c:pt idx="504">
                  <c:v>-87.532921604989681</c:v>
                </c:pt>
                <c:pt idx="505">
                  <c:v>-87.910418727830091</c:v>
                </c:pt>
                <c:pt idx="506">
                  <c:v>-88.286741250215343</c:v>
                </c:pt>
                <c:pt idx="507">
                  <c:v>-88.662071491144744</c:v>
                </c:pt>
                <c:pt idx="508">
                  <c:v>-89.036590875386366</c:v>
                </c:pt>
                <c:pt idx="509">
                  <c:v>-89.410479951818289</c:v>
                </c:pt>
                <c:pt idx="510">
                  <c:v>-89.783918409653239</c:v>
                </c:pt>
                <c:pt idx="511">
                  <c:v>-90.157085092255102</c:v>
                </c:pt>
                <c:pt idx="512">
                  <c:v>-90.530158008253423</c:v>
                </c:pt>
                <c:pt idx="513">
                  <c:v>-90.903314339654926</c:v>
                </c:pt>
                <c:pt idx="514">
                  <c:v>-91.276730446648472</c:v>
                </c:pt>
                <c:pt idx="515">
                  <c:v>-91.650581868790439</c:v>
                </c:pt>
                <c:pt idx="516">
                  <c:v>-92.025043322255442</c:v>
                </c:pt>
                <c:pt idx="517">
                  <c:v>-92.400288692826308</c:v>
                </c:pt>
                <c:pt idx="518">
                  <c:v>-92.776491024292966</c:v>
                </c:pt>
                <c:pt idx="519">
                  <c:v>-93.153822501922193</c:v>
                </c:pt>
                <c:pt idx="520">
                  <c:v>-93.532454430651413</c:v>
                </c:pt>
                <c:pt idx="521">
                  <c:v>-93.912557207654444</c:v>
                </c:pt>
                <c:pt idx="522">
                  <c:v>-94.294300288918151</c:v>
                </c:pt>
                <c:pt idx="523">
                  <c:v>-94.677852149463789</c:v>
                </c:pt>
                <c:pt idx="524">
                  <c:v>-95.063380236838938</c:v>
                </c:pt>
                <c:pt idx="525">
                  <c:v>-95.451050917500467</c:v>
                </c:pt>
                <c:pt idx="526">
                  <c:v>-95.841029415705123</c:v>
                </c:pt>
                <c:pt idx="527">
                  <c:v>-96.233479744519244</c:v>
                </c:pt>
                <c:pt idx="528">
                  <c:v>-96.628564628555822</c:v>
                </c:pt>
                <c:pt idx="529">
                  <c:v>-97.026445418050557</c:v>
                </c:pt>
                <c:pt idx="530">
                  <c:v>-97.427281993879802</c:v>
                </c:pt>
                <c:pt idx="531">
                  <c:v>-97.831232663138451</c:v>
                </c:pt>
                <c:pt idx="532">
                  <c:v>-98.238454044889423</c:v>
                </c:pt>
                <c:pt idx="533">
                  <c:v>-98.649100945713215</c:v>
                </c:pt>
                <c:pt idx="534">
                  <c:v>-99.063326224690385</c:v>
                </c:pt>
                <c:pt idx="535">
                  <c:v>-99.481280647469021</c:v>
                </c:pt>
                <c:pt idx="536">
                  <c:v>-99.903112729083873</c:v>
                </c:pt>
                <c:pt idx="537">
                  <c:v>-100.3289685652209</c:v>
                </c:pt>
                <c:pt idx="538">
                  <c:v>-100.75899165164321</c:v>
                </c:pt>
                <c:pt idx="539">
                  <c:v>-101.19332269152993</c:v>
                </c:pt>
                <c:pt idx="540">
                  <c:v>-101.63209939051643</c:v>
                </c:pt>
                <c:pt idx="541">
                  <c:v>-102.07545623927076</c:v>
                </c:pt>
              </c:numCache>
            </c:numRef>
          </c:yVal>
          <c:smooth val="1"/>
          <c:extLst>
            <c:ext xmlns:c16="http://schemas.microsoft.com/office/drawing/2014/chart" uri="{C3380CC4-5D6E-409C-BE32-E72D297353CC}">
              <c16:uniqueId val="{00000001-8173-45EB-83AD-B179A66292B6}"/>
            </c:ext>
          </c:extLst>
        </c:ser>
        <c:dLbls>
          <c:showLegendKey val="0"/>
          <c:showVal val="0"/>
          <c:showCatName val="0"/>
          <c:showSerName val="0"/>
          <c:showPercent val="0"/>
          <c:showBubbleSize val="0"/>
        </c:dLbls>
        <c:axId val="555537920"/>
        <c:axId val="555536384"/>
      </c:scatterChart>
      <c:valAx>
        <c:axId val="55552819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530112"/>
        <c:crosses val="autoZero"/>
        <c:crossBetween val="midCat"/>
      </c:valAx>
      <c:valAx>
        <c:axId val="55553011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555528192"/>
        <c:crosses val="autoZero"/>
        <c:crossBetween val="midCat"/>
        <c:majorUnit val="20"/>
        <c:minorUnit val="10"/>
      </c:valAx>
      <c:valAx>
        <c:axId val="55553638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555537920"/>
        <c:crosses val="max"/>
        <c:crossBetween val="midCat"/>
        <c:majorUnit val="90"/>
        <c:minorUnit val="45"/>
      </c:valAx>
      <c:valAx>
        <c:axId val="555537920"/>
        <c:scaling>
          <c:logBase val="10"/>
          <c:orientation val="minMax"/>
        </c:scaling>
        <c:delete val="1"/>
        <c:axPos val="b"/>
        <c:numFmt formatCode="0.00" sourceLinked="1"/>
        <c:majorTickMark val="out"/>
        <c:minorTickMark val="none"/>
        <c:tickLblPos val="nextTo"/>
        <c:crossAx val="555536384"/>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Eff_vs_IOUT!$AW$7:$AW$157</c:f>
              <c:numCache>
                <c:formatCode>General</c:formatCode>
                <c:ptCount val="151"/>
                <c:pt idx="0">
                  <c:v>0</c:v>
                </c:pt>
                <c:pt idx="1">
                  <c:v>53.459301846620477</c:v>
                </c:pt>
                <c:pt idx="2">
                  <c:v>67.515703507297758</c:v>
                </c:pt>
                <c:pt idx="3">
                  <c:v>73.942423923512408</c:v>
                </c:pt>
                <c:pt idx="4">
                  <c:v>77.599217418940668</c:v>
                </c:pt>
                <c:pt idx="5">
                  <c:v>79.945292447295415</c:v>
                </c:pt>
                <c:pt idx="6">
                  <c:v>81.569722957003378</c:v>
                </c:pt>
                <c:pt idx="7">
                  <c:v>82.75547106836116</c:v>
                </c:pt>
                <c:pt idx="8">
                  <c:v>84.035984136670734</c:v>
                </c:pt>
                <c:pt idx="9">
                  <c:v>85.240695671386604</c:v>
                </c:pt>
                <c:pt idx="10">
                  <c:v>86.226790478464892</c:v>
                </c:pt>
                <c:pt idx="11">
                  <c:v>87.048103273959924</c:v>
                </c:pt>
                <c:pt idx="12">
                  <c:v>87.742134216002043</c:v>
                </c:pt>
                <c:pt idx="13">
                  <c:v>88.335807393701259</c:v>
                </c:pt>
                <c:pt idx="14">
                  <c:v>88.848953686893338</c:v>
                </c:pt>
                <c:pt idx="15">
                  <c:v>89.296502324721558</c:v>
                </c:pt>
                <c:pt idx="16">
                  <c:v>89.689907191777863</c:v>
                </c:pt>
                <c:pt idx="17">
                  <c:v>90.038102484445943</c:v>
                </c:pt>
                <c:pt idx="18">
                  <c:v>90.34815946036241</c:v>
                </c:pt>
                <c:pt idx="19">
                  <c:v>90.625747949708853</c:v>
                </c:pt>
                <c:pt idx="20">
                  <c:v>90.875467145428502</c:v>
                </c:pt>
                <c:pt idx="21">
                  <c:v>91.101086922266674</c:v>
                </c:pt>
                <c:pt idx="22">
                  <c:v>91.305726700015668</c:v>
                </c:pt>
                <c:pt idx="23">
                  <c:v>91.491989929371528</c:v>
                </c:pt>
                <c:pt idx="24">
                  <c:v>91.662066535764254</c:v>
                </c:pt>
                <c:pt idx="25">
                  <c:v>91.817811887558648</c:v>
                </c:pt>
                <c:pt idx="26">
                  <c:v>91.960808333920866</c:v>
                </c:pt>
                <c:pt idx="27">
                  <c:v>92.092413641635517</c:v>
                </c:pt>
                <c:pt idx="28">
                  <c:v>92.213799473362684</c:v>
                </c:pt>
                <c:pt idx="29">
                  <c:v>92.325982216908599</c:v>
                </c:pt>
                <c:pt idx="30">
                  <c:v>92.429847882563124</c:v>
                </c:pt>
                <c:pt idx="31">
                  <c:v>92.526172358734414</c:v>
                </c:pt>
                <c:pt idx="32">
                  <c:v>92.615638005054393</c:v>
                </c:pt>
                <c:pt idx="33">
                  <c:v>92.698847332967233</c:v>
                </c:pt>
                <c:pt idx="34">
                  <c:v>92.776334353274237</c:v>
                </c:pt>
                <c:pt idx="35">
                  <c:v>92.84857404198786</c:v>
                </c:pt>
                <c:pt idx="36">
                  <c:v>92.915990278738036</c:v>
                </c:pt>
                <c:pt idx="37">
                  <c:v>92.978962537753986</c:v>
                </c:pt>
                <c:pt idx="38">
                  <c:v>93.037831554272586</c:v>
                </c:pt>
                <c:pt idx="39">
                  <c:v>93.092904144856846</c:v>
                </c:pt>
                <c:pt idx="40">
                  <c:v>93.144457325436761</c:v>
                </c:pt>
                <c:pt idx="41">
                  <c:v>93.19274184361133</c:v>
                </c:pt>
                <c:pt idx="42">
                  <c:v>93.237985220160013</c:v>
                </c:pt>
                <c:pt idx="43">
                  <c:v>93.280394377520835</c:v>
                </c:pt>
                <c:pt idx="44">
                  <c:v>93.3201579192243</c:v>
                </c:pt>
                <c:pt idx="45">
                  <c:v>93.357448113188141</c:v>
                </c:pt>
                <c:pt idx="46">
                  <c:v>93.392422622807644</c:v>
                </c:pt>
                <c:pt idx="47">
                  <c:v>93.425226022481638</c:v>
                </c:pt>
                <c:pt idx="48">
                  <c:v>93.455991128254396</c:v>
                </c:pt>
                <c:pt idx="49">
                  <c:v>93.484840169362855</c:v>
                </c:pt>
                <c:pt idx="50">
                  <c:v>93.511885822447766</c:v>
                </c:pt>
                <c:pt idx="51">
                  <c:v>93.53723212685118</c:v>
                </c:pt>
                <c:pt idx="52">
                  <c:v>93.560975296651918</c:v>
                </c:pt>
                <c:pt idx="53">
                  <c:v>93.583204442779859</c:v>
                </c:pt>
                <c:pt idx="54">
                  <c:v>93.604002216615157</c:v>
                </c:pt>
                <c:pt idx="55">
                  <c:v>93.623445384855131</c:v>
                </c:pt>
                <c:pt idx="56">
                  <c:v>93.641605344062654</c:v>
                </c:pt>
                <c:pt idx="57">
                  <c:v>93.658548582152591</c:v>
                </c:pt>
                <c:pt idx="58">
                  <c:v>93.674337093092802</c:v>
                </c:pt>
                <c:pt idx="59">
                  <c:v>93.689028750260917</c:v>
                </c:pt>
                <c:pt idx="60">
                  <c:v>93.702677643187627</c:v>
                </c:pt>
                <c:pt idx="61">
                  <c:v>93.715334381807537</c:v>
                </c:pt>
                <c:pt idx="62">
                  <c:v>93.727046371817863</c:v>
                </c:pt>
                <c:pt idx="63">
                  <c:v>93.737858064295949</c:v>
                </c:pt>
                <c:pt idx="64">
                  <c:v>93.747811182339532</c:v>
                </c:pt>
                <c:pt idx="65">
                  <c:v>93.756944927160703</c:v>
                </c:pt>
                <c:pt idx="66">
                  <c:v>93.765296165773705</c:v>
                </c:pt>
                <c:pt idx="67">
                  <c:v>93.77289960216666</c:v>
                </c:pt>
                <c:pt idx="68">
                  <c:v>93.779787933628057</c:v>
                </c:pt>
                <c:pt idx="69">
                  <c:v>93.785991993708919</c:v>
                </c:pt>
                <c:pt idx="70">
                  <c:v>93.791540883134473</c:v>
                </c:pt>
                <c:pt idx="71">
                  <c:v>93.796462089834478</c:v>
                </c:pt>
                <c:pt idx="72">
                  <c:v>93.800781599132449</c:v>
                </c:pt>
                <c:pt idx="73">
                  <c:v>93.804523995022876</c:v>
                </c:pt>
                <c:pt idx="74">
                  <c:v>93.807712553365889</c:v>
                </c:pt>
                <c:pt idx="75">
                  <c:v>93.810369327742038</c:v>
                </c:pt>
                <c:pt idx="76">
                  <c:v>93.812515228633202</c:v>
                </c:pt>
                <c:pt idx="77">
                  <c:v>93.814170096526595</c:v>
                </c:pt>
                <c:pt idx="78">
                  <c:v>93.815352769479716</c:v>
                </c:pt>
                <c:pt idx="79">
                  <c:v>93.816081145629255</c:v>
                </c:pt>
                <c:pt idx="80">
                  <c:v>93.816372241080302</c:v>
                </c:pt>
                <c:pt idx="81">
                  <c:v>93.816242243569107</c:v>
                </c:pt>
                <c:pt idx="82">
                  <c:v>93.815706562255116</c:v>
                </c:pt>
                <c:pt idx="83">
                  <c:v>93.814779873964369</c:v>
                </c:pt>
                <c:pt idx="84">
                  <c:v>93.813476166175334</c:v>
                </c:pt>
                <c:pt idx="85">
                  <c:v>93.811808777012402</c:v>
                </c:pt>
                <c:pt idx="86">
                  <c:v>93.809790432486835</c:v>
                </c:pt>
                <c:pt idx="87">
                  <c:v>93.807433281203913</c:v>
                </c:pt>
                <c:pt idx="88">
                  <c:v>93.804748926734959</c:v>
                </c:pt>
                <c:pt idx="89">
                  <c:v>93.801748457835785</c:v>
                </c:pt>
                <c:pt idx="90">
                  <c:v>93.79844247667657</c:v>
                </c:pt>
                <c:pt idx="91">
                  <c:v>93.794841125234257</c:v>
                </c:pt>
                <c:pt idx="92">
                  <c:v>93.79095410998589</c:v>
                </c:pt>
                <c:pt idx="93">
                  <c:v>93.786790725028368</c:v>
                </c:pt>
                <c:pt idx="94">
                  <c:v>93.7823598737412</c:v>
                </c:pt>
                <c:pt idx="95">
                  <c:v>93.777670089097739</c:v>
                </c:pt>
                <c:pt idx="96">
                  <c:v>93.772729552722467</c:v>
                </c:pt>
                <c:pt idx="97">
                  <c:v>93.767546112783577</c:v>
                </c:pt>
                <c:pt idx="98">
                  <c:v>93.762127300803357</c:v>
                </c:pt>
                <c:pt idx="99">
                  <c:v>93.756480347461618</c:v>
                </c:pt>
                <c:pt idx="100">
                  <c:v>93.750612197462075</c:v>
                </c:pt>
                <c:pt idx="101">
                  <c:v>93.74452952352577</c:v>
                </c:pt>
                <c:pt idx="102">
                  <c:v>93.738238739570861</c:v>
                </c:pt>
                <c:pt idx="103">
                  <c:v>93.731746013133289</c:v>
                </c:pt>
                <c:pt idx="104">
                  <c:v>93.725057277078946</c:v>
                </c:pt>
                <c:pt idx="105">
                  <c:v>93.718178240654112</c:v>
                </c:pt>
                <c:pt idx="106">
                  <c:v>93.711114399917165</c:v>
                </c:pt>
                <c:pt idx="107">
                  <c:v>93.703871047591832</c:v>
                </c:pt>
                <c:pt idx="108">
                  <c:v>93.696453282378968</c:v>
                </c:pt>
                <c:pt idx="109">
                  <c:v>93.688866017761185</c:v>
                </c:pt>
                <c:pt idx="110">
                  <c:v>93.68111399033242</c:v>
                </c:pt>
                <c:pt idx="111">
                  <c:v>93.673201767681974</c:v>
                </c:pt>
                <c:pt idx="112">
                  <c:v>93.66513375586058</c:v>
                </c:pt>
                <c:pt idx="113">
                  <c:v>93.656914206454204</c:v>
                </c:pt>
                <c:pt idx="114">
                  <c:v>93.648547223289285</c:v>
                </c:pt>
                <c:pt idx="115">
                  <c:v>93.640036768791873</c:v>
                </c:pt>
                <c:pt idx="116">
                  <c:v>93.631386670020831</c:v>
                </c:pt>
                <c:pt idx="117">
                  <c:v>93.622600624395176</c:v>
                </c:pt>
                <c:pt idx="118">
                  <c:v>93.613682205132704</c:v>
                </c:pt>
                <c:pt idx="119">
                  <c:v>93.604634866417342</c:v>
                </c:pt>
                <c:pt idx="120">
                  <c:v>93.595461948310515</c:v>
                </c:pt>
                <c:pt idx="121">
                  <c:v>93.586166681421446</c:v>
                </c:pt>
                <c:pt idx="122">
                  <c:v>93.576752191349883</c:v>
                </c:pt>
                <c:pt idx="123">
                  <c:v>93.567221502914151</c:v>
                </c:pt>
                <c:pt idx="124">
                  <c:v>93.557577544176738</c:v>
                </c:pt>
                <c:pt idx="125">
                  <c:v>93.547823150278248</c:v>
                </c:pt>
                <c:pt idx="126">
                  <c:v>93.537961067090549</c:v>
                </c:pt>
                <c:pt idx="127">
                  <c:v>93.527993954698971</c:v>
                </c:pt>
                <c:pt idx="128">
                  <c:v>93.517924390722811</c:v>
                </c:pt>
                <c:pt idx="129">
                  <c:v>93.507754873482654</c:v>
                </c:pt>
                <c:pt idx="130">
                  <c:v>93.497487825022873</c:v>
                </c:pt>
                <c:pt idx="131">
                  <c:v>93.487125593997092</c:v>
                </c:pt>
                <c:pt idx="132">
                  <c:v>93.476670458423428</c:v>
                </c:pt>
                <c:pt idx="133">
                  <c:v>93.466124628316649</c:v>
                </c:pt>
                <c:pt idx="134">
                  <c:v>93.45549024820356</c:v>
                </c:pt>
                <c:pt idx="135">
                  <c:v>93.444769399527402</c:v>
                </c:pt>
                <c:pt idx="136">
                  <c:v>93.433964102947243</c:v>
                </c:pt>
                <c:pt idx="137">
                  <c:v>93.423076320537461</c:v>
                </c:pt>
                <c:pt idx="138">
                  <c:v>93.412107957892431</c:v>
                </c:pt>
                <c:pt idx="139">
                  <c:v>93.401060866141023</c:v>
                </c:pt>
                <c:pt idx="140">
                  <c:v>93.389936843875773</c:v>
                </c:pt>
                <c:pt idx="141">
                  <c:v>93.378737639000221</c:v>
                </c:pt>
                <c:pt idx="142">
                  <c:v>93.36746495049924</c:v>
                </c:pt>
                <c:pt idx="143">
                  <c:v>93.356120430135476</c:v>
                </c:pt>
                <c:pt idx="144">
                  <c:v>93.344705684075663</c:v>
                </c:pt>
                <c:pt idx="145">
                  <c:v>93.33322227445035</c:v>
                </c:pt>
                <c:pt idx="146">
                  <c:v>93.321671720849878</c:v>
                </c:pt>
                <c:pt idx="147">
                  <c:v>93.310055501759877</c:v>
                </c:pt>
                <c:pt idx="148">
                  <c:v>93.29837505593899</c:v>
                </c:pt>
                <c:pt idx="149">
                  <c:v>93.286631783741555</c:v>
                </c:pt>
                <c:pt idx="150">
                  <c:v>93.274827048387849</c:v>
                </c:pt>
              </c:numCache>
            </c:numRef>
          </c:yVal>
          <c:smooth val="0"/>
          <c:extLst>
            <c:ext xmlns:c16="http://schemas.microsoft.com/office/drawing/2014/chart" uri="{C3380CC4-5D6E-409C-BE32-E72D297353CC}">
              <c16:uniqueId val="{00000000-50A0-4BAE-A18F-D1A285C4A90E}"/>
            </c:ext>
          </c:extLst>
        </c:ser>
        <c:dLbls>
          <c:showLegendKey val="0"/>
          <c:showVal val="0"/>
          <c:showCatName val="0"/>
          <c:showSerName val="0"/>
          <c:showPercent val="0"/>
          <c:showBubbleSize val="0"/>
        </c:dLbls>
        <c:axId val="555642880"/>
        <c:axId val="555644416"/>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Eff_vs_IOUT!$AI$7:$AI$157</c:f>
              <c:numCache>
                <c:formatCode>General</c:formatCode>
                <c:ptCount val="151"/>
                <c:pt idx="0">
                  <c:v>0</c:v>
                </c:pt>
                <c:pt idx="1">
                  <c:v>6.9089962484580061E-2</c:v>
                </c:pt>
                <c:pt idx="2">
                  <c:v>0.13852572755899556</c:v>
                </c:pt>
                <c:pt idx="3">
                  <c:v>0.20818660682803392</c:v>
                </c:pt>
                <c:pt idx="4">
                  <c:v>0.27802953254288915</c:v>
                </c:pt>
                <c:pt idx="5">
                  <c:v>0.34802961392302034</c:v>
                </c:pt>
                <c:pt idx="6">
                  <c:v>0.41817005662101947</c:v>
                </c:pt>
                <c:pt idx="7">
                  <c:v>0.48843853147923966</c:v>
                </c:pt>
                <c:pt idx="8">
                  <c:v>0.55885046877828981</c:v>
                </c:pt>
                <c:pt idx="9">
                  <c:v>0.62948651061172767</c:v>
                </c:pt>
                <c:pt idx="10">
                  <c:v>0.70035355244516539</c:v>
                </c:pt>
                <c:pt idx="11">
                  <c:v>0.77145159427860344</c:v>
                </c:pt>
                <c:pt idx="12">
                  <c:v>0.84278063611204102</c:v>
                </c:pt>
                <c:pt idx="13">
                  <c:v>0.91434067794547891</c:v>
                </c:pt>
                <c:pt idx="14">
                  <c:v>0.98613171977891678</c:v>
                </c:pt>
                <c:pt idx="15">
                  <c:v>1.0581537616123546</c:v>
                </c:pt>
                <c:pt idx="16">
                  <c:v>1.1304068034457926</c:v>
                </c:pt>
                <c:pt idx="17">
                  <c:v>1.2028908452792304</c:v>
                </c:pt>
                <c:pt idx="18">
                  <c:v>1.2756058871126683</c:v>
                </c:pt>
                <c:pt idx="19">
                  <c:v>1.3485519289461063</c:v>
                </c:pt>
                <c:pt idx="20">
                  <c:v>1.4217289707795437</c:v>
                </c:pt>
                <c:pt idx="21">
                  <c:v>1.4951370126129817</c:v>
                </c:pt>
                <c:pt idx="22">
                  <c:v>1.5687760544464198</c:v>
                </c:pt>
                <c:pt idx="23">
                  <c:v>1.6426460962798572</c:v>
                </c:pt>
                <c:pt idx="24">
                  <c:v>1.7167471381132948</c:v>
                </c:pt>
                <c:pt idx="25">
                  <c:v>1.7910791799467329</c:v>
                </c:pt>
                <c:pt idx="26">
                  <c:v>1.8656422217801707</c:v>
                </c:pt>
                <c:pt idx="27">
                  <c:v>1.9404362636136088</c:v>
                </c:pt>
                <c:pt idx="28">
                  <c:v>2.0154613054470465</c:v>
                </c:pt>
                <c:pt idx="29">
                  <c:v>2.0907173472804841</c:v>
                </c:pt>
                <c:pt idx="30">
                  <c:v>2.166204389113922</c:v>
                </c:pt>
                <c:pt idx="31">
                  <c:v>2.2419224309473602</c:v>
                </c:pt>
                <c:pt idx="32">
                  <c:v>2.3178714727807979</c:v>
                </c:pt>
                <c:pt idx="33">
                  <c:v>2.3940515146142358</c:v>
                </c:pt>
                <c:pt idx="34">
                  <c:v>2.4704625564476737</c:v>
                </c:pt>
                <c:pt idx="35">
                  <c:v>2.5471045982811109</c:v>
                </c:pt>
                <c:pt idx="36">
                  <c:v>2.6239776401145494</c:v>
                </c:pt>
                <c:pt idx="37">
                  <c:v>2.7010816819479873</c:v>
                </c:pt>
                <c:pt idx="38">
                  <c:v>2.7784167237814255</c:v>
                </c:pt>
                <c:pt idx="39">
                  <c:v>2.8559827656148626</c:v>
                </c:pt>
                <c:pt idx="40">
                  <c:v>2.9337798074483001</c:v>
                </c:pt>
                <c:pt idx="41">
                  <c:v>3.0118078492817384</c:v>
                </c:pt>
                <c:pt idx="42">
                  <c:v>3.0900668911151761</c:v>
                </c:pt>
                <c:pt idx="43">
                  <c:v>3.1685569329486132</c:v>
                </c:pt>
                <c:pt idx="44">
                  <c:v>3.2472779747820519</c:v>
                </c:pt>
                <c:pt idx="45">
                  <c:v>3.3262300166154892</c:v>
                </c:pt>
                <c:pt idx="46">
                  <c:v>3.4054130584489273</c:v>
                </c:pt>
                <c:pt idx="47">
                  <c:v>3.4848271002823652</c:v>
                </c:pt>
                <c:pt idx="48">
                  <c:v>3.5644721421158025</c:v>
                </c:pt>
                <c:pt idx="49">
                  <c:v>3.6443481839492411</c:v>
                </c:pt>
                <c:pt idx="50">
                  <c:v>3.7244552257826786</c:v>
                </c:pt>
                <c:pt idx="51">
                  <c:v>3.804793267616116</c:v>
                </c:pt>
                <c:pt idx="52">
                  <c:v>3.8853623094495542</c:v>
                </c:pt>
                <c:pt idx="53">
                  <c:v>3.9661623512829922</c:v>
                </c:pt>
                <c:pt idx="54">
                  <c:v>4.0471933931164301</c:v>
                </c:pt>
                <c:pt idx="55">
                  <c:v>4.1284554349498679</c:v>
                </c:pt>
                <c:pt idx="56">
                  <c:v>4.209948476783306</c:v>
                </c:pt>
                <c:pt idx="57">
                  <c:v>4.2916725186167435</c:v>
                </c:pt>
                <c:pt idx="58">
                  <c:v>4.3736275604501813</c:v>
                </c:pt>
                <c:pt idx="59">
                  <c:v>4.4558136022836203</c:v>
                </c:pt>
                <c:pt idx="60">
                  <c:v>4.538230644117057</c:v>
                </c:pt>
                <c:pt idx="61">
                  <c:v>4.6208786859504949</c:v>
                </c:pt>
                <c:pt idx="62">
                  <c:v>4.7037577277839331</c:v>
                </c:pt>
                <c:pt idx="63">
                  <c:v>4.7868677696173698</c:v>
                </c:pt>
                <c:pt idx="64">
                  <c:v>4.8702088114508086</c:v>
                </c:pt>
                <c:pt idx="65">
                  <c:v>4.953780853284246</c:v>
                </c:pt>
                <c:pt idx="66">
                  <c:v>5.0375838951176846</c:v>
                </c:pt>
                <c:pt idx="67">
                  <c:v>5.1216179369511217</c:v>
                </c:pt>
                <c:pt idx="68">
                  <c:v>5.20588297878456</c:v>
                </c:pt>
                <c:pt idx="69">
                  <c:v>5.2903790206179977</c:v>
                </c:pt>
                <c:pt idx="70">
                  <c:v>5.3751060624514349</c:v>
                </c:pt>
                <c:pt idx="71">
                  <c:v>5.4600641042848741</c:v>
                </c:pt>
                <c:pt idx="72">
                  <c:v>5.5452531461183119</c:v>
                </c:pt>
                <c:pt idx="73">
                  <c:v>5.6306731879517491</c:v>
                </c:pt>
                <c:pt idx="74">
                  <c:v>5.7163242297851875</c:v>
                </c:pt>
                <c:pt idx="75">
                  <c:v>5.8022062716186245</c:v>
                </c:pt>
                <c:pt idx="76">
                  <c:v>5.8883193134520635</c:v>
                </c:pt>
                <c:pt idx="77">
                  <c:v>5.9746633552855002</c:v>
                </c:pt>
                <c:pt idx="78">
                  <c:v>6.061238397118939</c:v>
                </c:pt>
                <c:pt idx="79">
                  <c:v>6.1480444389523772</c:v>
                </c:pt>
                <c:pt idx="80">
                  <c:v>6.2350814807858139</c:v>
                </c:pt>
                <c:pt idx="81">
                  <c:v>6.3223495226192501</c:v>
                </c:pt>
                <c:pt idx="82">
                  <c:v>6.4098485644526892</c:v>
                </c:pt>
                <c:pt idx="83">
                  <c:v>6.4975786062861287</c:v>
                </c:pt>
                <c:pt idx="84">
                  <c:v>6.5855396481195658</c:v>
                </c:pt>
                <c:pt idx="85">
                  <c:v>6.6737316899530024</c:v>
                </c:pt>
                <c:pt idx="86">
                  <c:v>6.7621547317864392</c:v>
                </c:pt>
                <c:pt idx="87">
                  <c:v>6.8508087736198782</c:v>
                </c:pt>
                <c:pt idx="88">
                  <c:v>6.9396938154533174</c:v>
                </c:pt>
                <c:pt idx="89">
                  <c:v>7.0288098572867561</c:v>
                </c:pt>
                <c:pt idx="90">
                  <c:v>7.1181568991201907</c:v>
                </c:pt>
                <c:pt idx="91">
                  <c:v>7.2077349409536282</c:v>
                </c:pt>
                <c:pt idx="92">
                  <c:v>7.297543982787067</c:v>
                </c:pt>
                <c:pt idx="93">
                  <c:v>7.3875840246205069</c:v>
                </c:pt>
                <c:pt idx="94">
                  <c:v>7.4778550664539427</c:v>
                </c:pt>
                <c:pt idx="95">
                  <c:v>7.5683571082873815</c:v>
                </c:pt>
                <c:pt idx="96">
                  <c:v>7.659090150120818</c:v>
                </c:pt>
                <c:pt idx="97">
                  <c:v>7.7500541919542565</c:v>
                </c:pt>
                <c:pt idx="98">
                  <c:v>7.8412492337876953</c:v>
                </c:pt>
                <c:pt idx="99">
                  <c:v>7.9326752756211318</c:v>
                </c:pt>
                <c:pt idx="100">
                  <c:v>8.0243323174545704</c:v>
                </c:pt>
                <c:pt idx="101">
                  <c:v>8.1162203592880076</c:v>
                </c:pt>
                <c:pt idx="102">
                  <c:v>8.2083394011214459</c:v>
                </c:pt>
                <c:pt idx="103">
                  <c:v>8.3006894429548854</c:v>
                </c:pt>
                <c:pt idx="104">
                  <c:v>8.3932704847883208</c:v>
                </c:pt>
                <c:pt idx="105">
                  <c:v>8.4860825266217592</c:v>
                </c:pt>
                <c:pt idx="106">
                  <c:v>8.579125568455197</c:v>
                </c:pt>
                <c:pt idx="107">
                  <c:v>8.6723996102886343</c:v>
                </c:pt>
                <c:pt idx="108">
                  <c:v>8.7659046521220745</c:v>
                </c:pt>
                <c:pt idx="109">
                  <c:v>8.8596406939555106</c:v>
                </c:pt>
                <c:pt idx="110">
                  <c:v>8.9536077357889479</c:v>
                </c:pt>
                <c:pt idx="111">
                  <c:v>9.0478057776223864</c:v>
                </c:pt>
                <c:pt idx="112">
                  <c:v>9.1422348194558243</c:v>
                </c:pt>
                <c:pt idx="113">
                  <c:v>9.2368948612892634</c:v>
                </c:pt>
                <c:pt idx="114">
                  <c:v>9.3317859031227002</c:v>
                </c:pt>
                <c:pt idx="115">
                  <c:v>9.4269079449561364</c:v>
                </c:pt>
                <c:pt idx="116">
                  <c:v>9.5222609867895756</c:v>
                </c:pt>
                <c:pt idx="117">
                  <c:v>9.6178450286230124</c:v>
                </c:pt>
                <c:pt idx="118">
                  <c:v>9.7136600704564522</c:v>
                </c:pt>
                <c:pt idx="119">
                  <c:v>9.8097061122898879</c:v>
                </c:pt>
                <c:pt idx="120">
                  <c:v>9.9059831541233265</c:v>
                </c:pt>
                <c:pt idx="121">
                  <c:v>10.002491195956765</c:v>
                </c:pt>
                <c:pt idx="122">
                  <c:v>10.099230237790202</c:v>
                </c:pt>
                <c:pt idx="123">
                  <c:v>10.196200279623641</c:v>
                </c:pt>
                <c:pt idx="124">
                  <c:v>10.293401321457079</c:v>
                </c:pt>
                <c:pt idx="125">
                  <c:v>10.390833363290515</c:v>
                </c:pt>
                <c:pt idx="126">
                  <c:v>10.488496405123954</c:v>
                </c:pt>
                <c:pt idx="127">
                  <c:v>10.586390446957394</c:v>
                </c:pt>
                <c:pt idx="128">
                  <c:v>10.684515488790831</c:v>
                </c:pt>
                <c:pt idx="129">
                  <c:v>10.782871530624268</c:v>
                </c:pt>
                <c:pt idx="130">
                  <c:v>10.881458572457705</c:v>
                </c:pt>
                <c:pt idx="131">
                  <c:v>10.980276614291142</c:v>
                </c:pt>
                <c:pt idx="132">
                  <c:v>11.079325656124583</c:v>
                </c:pt>
                <c:pt idx="133">
                  <c:v>11.17860569795802</c:v>
                </c:pt>
                <c:pt idx="134">
                  <c:v>11.278116739791457</c:v>
                </c:pt>
                <c:pt idx="135">
                  <c:v>11.377858781624894</c:v>
                </c:pt>
                <c:pt idx="136">
                  <c:v>11.477831823458333</c:v>
                </c:pt>
                <c:pt idx="137">
                  <c:v>11.578035865291771</c:v>
                </c:pt>
                <c:pt idx="138">
                  <c:v>11.678470907125208</c:v>
                </c:pt>
                <c:pt idx="139">
                  <c:v>11.779136948958646</c:v>
                </c:pt>
                <c:pt idx="140">
                  <c:v>11.880033990792082</c:v>
                </c:pt>
                <c:pt idx="141">
                  <c:v>11.981162032625523</c:v>
                </c:pt>
                <c:pt idx="142">
                  <c:v>12.082521074458962</c:v>
                </c:pt>
                <c:pt idx="143">
                  <c:v>12.184111116292398</c:v>
                </c:pt>
                <c:pt idx="144">
                  <c:v>12.285932158125837</c:v>
                </c:pt>
                <c:pt idx="145">
                  <c:v>12.387984199959272</c:v>
                </c:pt>
                <c:pt idx="146">
                  <c:v>12.490267241792711</c:v>
                </c:pt>
                <c:pt idx="147">
                  <c:v>12.592781283626149</c:v>
                </c:pt>
                <c:pt idx="148">
                  <c:v>12.695526325459587</c:v>
                </c:pt>
                <c:pt idx="149">
                  <c:v>12.798502367293025</c:v>
                </c:pt>
                <c:pt idx="150">
                  <c:v>12.901709409126463</c:v>
                </c:pt>
              </c:numCache>
            </c:numRef>
          </c:yVal>
          <c:smooth val="1"/>
          <c:extLst>
            <c:ext xmlns:c16="http://schemas.microsoft.com/office/drawing/2014/chart" uri="{C3380CC4-5D6E-409C-BE32-E72D297353CC}">
              <c16:uniqueId val="{00000001-50A0-4BAE-A18F-D1A285C4A90E}"/>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Eff_vs_IOUT!$AO$7:$AO$157</c:f>
              <c:numCache>
                <c:formatCode>General</c:formatCode>
                <c:ptCount val="151"/>
                <c:pt idx="0">
                  <c:v>0</c:v>
                </c:pt>
                <c:pt idx="1">
                  <c:v>1.4697144264058064</c:v>
                </c:pt>
                <c:pt idx="2">
                  <c:v>1.4833066970241562</c:v>
                </c:pt>
                <c:pt idx="3">
                  <c:v>1.4942733406241235</c:v>
                </c:pt>
                <c:pt idx="4">
                  <c:v>1.5039682180207503</c:v>
                </c:pt>
                <c:pt idx="5">
                  <c:v>1.5129047906683504</c:v>
                </c:pt>
                <c:pt idx="6">
                  <c:v>1.5213410210743727</c:v>
                </c:pt>
                <c:pt idx="7">
                  <c:v>1.5294270140741715</c:v>
                </c:pt>
                <c:pt idx="8">
                  <c:v>1.537369702623907</c:v>
                </c:pt>
                <c:pt idx="9">
                  <c:v>1.5455877026239071</c:v>
                </c:pt>
                <c:pt idx="10">
                  <c:v>1.5541137026239071</c:v>
                </c:pt>
                <c:pt idx="11">
                  <c:v>1.5629477026239071</c:v>
                </c:pt>
                <c:pt idx="12">
                  <c:v>1.5720897026239069</c:v>
                </c:pt>
                <c:pt idx="13">
                  <c:v>1.5815397026239071</c:v>
                </c:pt>
                <c:pt idx="14">
                  <c:v>1.591297702623907</c:v>
                </c:pt>
                <c:pt idx="15">
                  <c:v>1.6013637026239071</c:v>
                </c:pt>
                <c:pt idx="16">
                  <c:v>1.6117377026239073</c:v>
                </c:pt>
                <c:pt idx="17">
                  <c:v>1.6224197026239069</c:v>
                </c:pt>
                <c:pt idx="18">
                  <c:v>1.6334097026239069</c:v>
                </c:pt>
                <c:pt idx="19">
                  <c:v>1.644707702623907</c:v>
                </c:pt>
                <c:pt idx="20">
                  <c:v>1.656313702623907</c:v>
                </c:pt>
                <c:pt idx="21">
                  <c:v>1.668227702623907</c:v>
                </c:pt>
                <c:pt idx="22">
                  <c:v>1.6804497026239069</c:v>
                </c:pt>
                <c:pt idx="23">
                  <c:v>1.6929797026239071</c:v>
                </c:pt>
                <c:pt idx="24">
                  <c:v>1.7058177026239072</c:v>
                </c:pt>
                <c:pt idx="25">
                  <c:v>1.7189637026239069</c:v>
                </c:pt>
                <c:pt idx="26">
                  <c:v>1.7324177026239069</c:v>
                </c:pt>
                <c:pt idx="27">
                  <c:v>1.746179702623907</c:v>
                </c:pt>
                <c:pt idx="28">
                  <c:v>1.760249702623907</c:v>
                </c:pt>
                <c:pt idx="29">
                  <c:v>1.7746277026239072</c:v>
                </c:pt>
                <c:pt idx="30">
                  <c:v>1.789313702623907</c:v>
                </c:pt>
                <c:pt idx="31">
                  <c:v>1.8043077026239069</c:v>
                </c:pt>
                <c:pt idx="32">
                  <c:v>1.8196097026239071</c:v>
                </c:pt>
                <c:pt idx="33">
                  <c:v>1.8352197026239072</c:v>
                </c:pt>
                <c:pt idx="34">
                  <c:v>1.8511377026239071</c:v>
                </c:pt>
                <c:pt idx="35">
                  <c:v>1.8673637026239069</c:v>
                </c:pt>
                <c:pt idx="36">
                  <c:v>1.883897702623907</c:v>
                </c:pt>
                <c:pt idx="37">
                  <c:v>1.900739702623907</c:v>
                </c:pt>
                <c:pt idx="38">
                  <c:v>1.9178897026239072</c:v>
                </c:pt>
                <c:pt idx="39">
                  <c:v>1.935347702623907</c:v>
                </c:pt>
                <c:pt idx="40">
                  <c:v>1.9531137026239069</c:v>
                </c:pt>
                <c:pt idx="41">
                  <c:v>1.9711877026239073</c:v>
                </c:pt>
                <c:pt idx="42">
                  <c:v>1.989569702623907</c:v>
                </c:pt>
                <c:pt idx="43">
                  <c:v>2.0082597026239069</c:v>
                </c:pt>
                <c:pt idx="44">
                  <c:v>2.0272577026239071</c:v>
                </c:pt>
                <c:pt idx="45">
                  <c:v>2.046563702623907</c:v>
                </c:pt>
                <c:pt idx="46">
                  <c:v>2.0661777026239072</c:v>
                </c:pt>
                <c:pt idx="47">
                  <c:v>2.086099702623907</c:v>
                </c:pt>
                <c:pt idx="48">
                  <c:v>2.1063297026239072</c:v>
                </c:pt>
                <c:pt idx="49">
                  <c:v>2.1268677026239073</c:v>
                </c:pt>
                <c:pt idx="50">
                  <c:v>2.147713702623907</c:v>
                </c:pt>
                <c:pt idx="51">
                  <c:v>2.1688677026239072</c:v>
                </c:pt>
                <c:pt idx="52">
                  <c:v>2.1903297026239068</c:v>
                </c:pt>
                <c:pt idx="53">
                  <c:v>2.2120997026239069</c:v>
                </c:pt>
                <c:pt idx="54">
                  <c:v>2.2341777026239074</c:v>
                </c:pt>
                <c:pt idx="55">
                  <c:v>2.2565637026239074</c:v>
                </c:pt>
                <c:pt idx="56">
                  <c:v>2.2792577026239074</c:v>
                </c:pt>
                <c:pt idx="57">
                  <c:v>2.3022597026239073</c:v>
                </c:pt>
                <c:pt idx="58">
                  <c:v>2.3255697026239073</c:v>
                </c:pt>
                <c:pt idx="59">
                  <c:v>2.3491877026239076</c:v>
                </c:pt>
                <c:pt idx="60">
                  <c:v>2.3731137026239071</c:v>
                </c:pt>
                <c:pt idx="61">
                  <c:v>2.3973477026239074</c:v>
                </c:pt>
                <c:pt idx="62">
                  <c:v>2.4218897026239072</c:v>
                </c:pt>
                <c:pt idx="63">
                  <c:v>2.4467397026239071</c:v>
                </c:pt>
                <c:pt idx="64">
                  <c:v>2.4718977026239077</c:v>
                </c:pt>
                <c:pt idx="65">
                  <c:v>2.4973637026239071</c:v>
                </c:pt>
                <c:pt idx="66">
                  <c:v>2.5231377026239077</c:v>
                </c:pt>
                <c:pt idx="67">
                  <c:v>2.5492197026239074</c:v>
                </c:pt>
                <c:pt idx="68">
                  <c:v>2.5756097026239071</c:v>
                </c:pt>
                <c:pt idx="69">
                  <c:v>2.6023077026239072</c:v>
                </c:pt>
                <c:pt idx="70">
                  <c:v>2.6293137026239073</c:v>
                </c:pt>
                <c:pt idx="71">
                  <c:v>2.6566277026239073</c:v>
                </c:pt>
                <c:pt idx="72">
                  <c:v>2.6842497026239074</c:v>
                </c:pt>
                <c:pt idx="73">
                  <c:v>2.7121797026239074</c:v>
                </c:pt>
                <c:pt idx="74">
                  <c:v>2.7404177026239074</c:v>
                </c:pt>
                <c:pt idx="75">
                  <c:v>2.7689637026239073</c:v>
                </c:pt>
                <c:pt idx="76">
                  <c:v>2.7978177026239073</c:v>
                </c:pt>
                <c:pt idx="77">
                  <c:v>2.8269797026239076</c:v>
                </c:pt>
                <c:pt idx="78">
                  <c:v>2.8564497026239075</c:v>
                </c:pt>
                <c:pt idx="79">
                  <c:v>2.8862277026239074</c:v>
                </c:pt>
                <c:pt idx="80">
                  <c:v>2.9163137026239077</c:v>
                </c:pt>
                <c:pt idx="81">
                  <c:v>2.946707702623907</c:v>
                </c:pt>
                <c:pt idx="82">
                  <c:v>2.9774097026239073</c:v>
                </c:pt>
                <c:pt idx="83">
                  <c:v>3.0084197026239075</c:v>
                </c:pt>
                <c:pt idx="84">
                  <c:v>3.0397377026239076</c:v>
                </c:pt>
                <c:pt idx="85">
                  <c:v>3.0713637026239073</c:v>
                </c:pt>
                <c:pt idx="86">
                  <c:v>3.103297702623907</c:v>
                </c:pt>
                <c:pt idx="87">
                  <c:v>3.1355397026239067</c:v>
                </c:pt>
                <c:pt idx="88">
                  <c:v>3.1680897026239072</c:v>
                </c:pt>
                <c:pt idx="89">
                  <c:v>3.2009477026239077</c:v>
                </c:pt>
                <c:pt idx="90">
                  <c:v>3.2341137026239073</c:v>
                </c:pt>
                <c:pt idx="91">
                  <c:v>3.2675877026239069</c:v>
                </c:pt>
                <c:pt idx="92">
                  <c:v>3.3013697026239068</c:v>
                </c:pt>
                <c:pt idx="93">
                  <c:v>3.3354597026239077</c:v>
                </c:pt>
                <c:pt idx="94">
                  <c:v>3.3698577026239067</c:v>
                </c:pt>
                <c:pt idx="95">
                  <c:v>3.4045637026239071</c:v>
                </c:pt>
                <c:pt idx="96">
                  <c:v>3.4395777026239074</c:v>
                </c:pt>
                <c:pt idx="97">
                  <c:v>3.4748997026239072</c:v>
                </c:pt>
                <c:pt idx="98">
                  <c:v>3.5105297026239071</c:v>
                </c:pt>
                <c:pt idx="99">
                  <c:v>3.5464677026239069</c:v>
                </c:pt>
                <c:pt idx="100">
                  <c:v>3.5827137026239071</c:v>
                </c:pt>
                <c:pt idx="101">
                  <c:v>3.6192677026239068</c:v>
                </c:pt>
                <c:pt idx="102">
                  <c:v>3.6561297026239075</c:v>
                </c:pt>
                <c:pt idx="103">
                  <c:v>3.6932997026239072</c:v>
                </c:pt>
                <c:pt idx="104">
                  <c:v>3.7307777026239068</c:v>
                </c:pt>
                <c:pt idx="105">
                  <c:v>3.7685637026239069</c:v>
                </c:pt>
                <c:pt idx="106">
                  <c:v>3.8066577026239066</c:v>
                </c:pt>
                <c:pt idx="107">
                  <c:v>3.8450597026239071</c:v>
                </c:pt>
                <c:pt idx="108">
                  <c:v>3.8837697026239066</c:v>
                </c:pt>
                <c:pt idx="109">
                  <c:v>3.9227877026239071</c:v>
                </c:pt>
                <c:pt idx="110">
                  <c:v>3.9621137026239066</c:v>
                </c:pt>
                <c:pt idx="111">
                  <c:v>4.0017477026239074</c:v>
                </c:pt>
                <c:pt idx="112">
                  <c:v>4.0416897026239074</c:v>
                </c:pt>
                <c:pt idx="113">
                  <c:v>4.0819397026239077</c:v>
                </c:pt>
                <c:pt idx="114">
                  <c:v>4.1224977026239058</c:v>
                </c:pt>
                <c:pt idx="115">
                  <c:v>4.163363702623907</c:v>
                </c:pt>
                <c:pt idx="116">
                  <c:v>4.2045377026239077</c:v>
                </c:pt>
                <c:pt idx="117">
                  <c:v>4.2460197026239079</c:v>
                </c:pt>
                <c:pt idx="118">
                  <c:v>4.2878097026239068</c:v>
                </c:pt>
                <c:pt idx="119">
                  <c:v>4.329907702623907</c:v>
                </c:pt>
                <c:pt idx="120">
                  <c:v>4.3723137026239076</c:v>
                </c:pt>
                <c:pt idx="121">
                  <c:v>4.415027702623906</c:v>
                </c:pt>
                <c:pt idx="122">
                  <c:v>4.4580497026239074</c:v>
                </c:pt>
                <c:pt idx="123">
                  <c:v>4.5013797026239066</c:v>
                </c:pt>
                <c:pt idx="124">
                  <c:v>4.5450177026239071</c:v>
                </c:pt>
                <c:pt idx="125">
                  <c:v>4.5889637026239063</c:v>
                </c:pt>
                <c:pt idx="126">
                  <c:v>4.6332177026239068</c:v>
                </c:pt>
                <c:pt idx="127">
                  <c:v>4.6777797026239076</c:v>
                </c:pt>
                <c:pt idx="128">
                  <c:v>4.7226497026239072</c:v>
                </c:pt>
                <c:pt idx="129">
                  <c:v>4.7678277026239071</c:v>
                </c:pt>
                <c:pt idx="130">
                  <c:v>4.8133137026239066</c:v>
                </c:pt>
                <c:pt idx="131">
                  <c:v>4.8591077026239073</c:v>
                </c:pt>
                <c:pt idx="132">
                  <c:v>4.9052097026239077</c:v>
                </c:pt>
                <c:pt idx="133">
                  <c:v>4.9516197026239075</c:v>
                </c:pt>
                <c:pt idx="134">
                  <c:v>4.9983377026239069</c:v>
                </c:pt>
                <c:pt idx="135">
                  <c:v>5.0453637026239067</c:v>
                </c:pt>
                <c:pt idx="136">
                  <c:v>5.0926977026239069</c:v>
                </c:pt>
                <c:pt idx="137">
                  <c:v>5.1403397026239084</c:v>
                </c:pt>
                <c:pt idx="138">
                  <c:v>5.1882897026239059</c:v>
                </c:pt>
                <c:pt idx="139">
                  <c:v>5.2365477026239082</c:v>
                </c:pt>
                <c:pt idx="140">
                  <c:v>5.2851137026239066</c:v>
                </c:pt>
                <c:pt idx="141">
                  <c:v>5.3339877026239062</c:v>
                </c:pt>
                <c:pt idx="142">
                  <c:v>5.383169702623908</c:v>
                </c:pt>
                <c:pt idx="143">
                  <c:v>5.4326597026239067</c:v>
                </c:pt>
                <c:pt idx="144">
                  <c:v>5.4824577026239076</c:v>
                </c:pt>
                <c:pt idx="145">
                  <c:v>5.5325637026239063</c:v>
                </c:pt>
                <c:pt idx="146">
                  <c:v>5.582977702623908</c:v>
                </c:pt>
                <c:pt idx="147">
                  <c:v>5.6336997026239075</c:v>
                </c:pt>
                <c:pt idx="148">
                  <c:v>5.6847297026239074</c:v>
                </c:pt>
                <c:pt idx="149">
                  <c:v>5.7360677026239077</c:v>
                </c:pt>
                <c:pt idx="150">
                  <c:v>5.7877137026239058</c:v>
                </c:pt>
              </c:numCache>
            </c:numRef>
          </c:yVal>
          <c:smooth val="1"/>
          <c:extLst>
            <c:ext xmlns:c16="http://schemas.microsoft.com/office/drawing/2014/chart" uri="{C3380CC4-5D6E-409C-BE32-E72D297353CC}">
              <c16:uniqueId val="{00000002-50A0-4BAE-A18F-D1A285C4A90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Eff_vs_IOUT!$AP$7:$AP$157</c:f>
              <c:numCache>
                <c:formatCode>General</c:formatCode>
                <c:ptCount val="151"/>
                <c:pt idx="0">
                  <c:v>0</c:v>
                </c:pt>
                <c:pt idx="1">
                  <c:v>1.660195771588399E-4</c:v>
                </c:pt>
                <c:pt idx="2">
                  <c:v>4.6957427527495593E-4</c:v>
                </c:pt>
                <c:pt idx="3">
                  <c:v>8.6266302807063691E-4</c:v>
                </c:pt>
                <c:pt idx="4">
                  <c:v>1.328156617270719E-3</c:v>
                </c:pt>
                <c:pt idx="5">
                  <c:v>1.8561553006146883E-3</c:v>
                </c:pt>
                <c:pt idx="6">
                  <c:v>2.439979508110673E-3</c:v>
                </c:pt>
                <c:pt idx="7">
                  <c:v>3.0747255975127272E-3</c:v>
                </c:pt>
                <c:pt idx="8">
                  <c:v>3.7665306122448977E-3</c:v>
                </c:pt>
                <c:pt idx="9">
                  <c:v>4.547468112244899E-3</c:v>
                </c:pt>
                <c:pt idx="10">
                  <c:v>5.4202806122448976E-3</c:v>
                </c:pt>
                <c:pt idx="11">
                  <c:v>6.384968112244897E-3</c:v>
                </c:pt>
                <c:pt idx="12">
                  <c:v>7.441530612244898E-3</c:v>
                </c:pt>
                <c:pt idx="13">
                  <c:v>8.5899681122448973E-3</c:v>
                </c:pt>
                <c:pt idx="14">
                  <c:v>9.8302806122448991E-3</c:v>
                </c:pt>
                <c:pt idx="15">
                  <c:v>1.1162468112244899E-2</c:v>
                </c:pt>
                <c:pt idx="16">
                  <c:v>1.2586530612244903E-2</c:v>
                </c:pt>
                <c:pt idx="17">
                  <c:v>1.4102468112244901E-2</c:v>
                </c:pt>
                <c:pt idx="18">
                  <c:v>1.5710280612244908E-2</c:v>
                </c:pt>
                <c:pt idx="19">
                  <c:v>1.7409968112244906E-2</c:v>
                </c:pt>
                <c:pt idx="20">
                  <c:v>1.9201530612244899E-2</c:v>
                </c:pt>
                <c:pt idx="21">
                  <c:v>2.1084968112244903E-2</c:v>
                </c:pt>
                <c:pt idx="22">
                  <c:v>2.3060280612244903E-2</c:v>
                </c:pt>
                <c:pt idx="23">
                  <c:v>2.5127468112244904E-2</c:v>
                </c:pt>
                <c:pt idx="24">
                  <c:v>2.7286530612244897E-2</c:v>
                </c:pt>
                <c:pt idx="25">
                  <c:v>2.9537468112244898E-2</c:v>
                </c:pt>
                <c:pt idx="26">
                  <c:v>3.1880280612244891E-2</c:v>
                </c:pt>
                <c:pt idx="27">
                  <c:v>3.4314968112244909E-2</c:v>
                </c:pt>
                <c:pt idx="28">
                  <c:v>3.6841530612244898E-2</c:v>
                </c:pt>
                <c:pt idx="29">
                  <c:v>3.9459968112244906E-2</c:v>
                </c:pt>
                <c:pt idx="30">
                  <c:v>4.2170280612244898E-2</c:v>
                </c:pt>
                <c:pt idx="31">
                  <c:v>4.4972468112244909E-2</c:v>
                </c:pt>
                <c:pt idx="32">
                  <c:v>4.7866530612244912E-2</c:v>
                </c:pt>
                <c:pt idx="33">
                  <c:v>5.0852468112244913E-2</c:v>
                </c:pt>
                <c:pt idx="34">
                  <c:v>5.3930280612244905E-2</c:v>
                </c:pt>
                <c:pt idx="35">
                  <c:v>5.7099968112244902E-2</c:v>
                </c:pt>
                <c:pt idx="36">
                  <c:v>6.0361530612244911E-2</c:v>
                </c:pt>
                <c:pt idx="37">
                  <c:v>6.3714968112244905E-2</c:v>
                </c:pt>
                <c:pt idx="38">
                  <c:v>6.7160280612244924E-2</c:v>
                </c:pt>
                <c:pt idx="39">
                  <c:v>7.0697468112244907E-2</c:v>
                </c:pt>
                <c:pt idx="40">
                  <c:v>7.4326530612244909E-2</c:v>
                </c:pt>
                <c:pt idx="41">
                  <c:v>7.804746811224493E-2</c:v>
                </c:pt>
                <c:pt idx="42">
                  <c:v>8.1860280612244915E-2</c:v>
                </c:pt>
                <c:pt idx="43">
                  <c:v>8.5764968112244877E-2</c:v>
                </c:pt>
                <c:pt idx="44">
                  <c:v>8.9761530612244914E-2</c:v>
                </c:pt>
                <c:pt idx="45">
                  <c:v>9.38499681122449E-2</c:v>
                </c:pt>
                <c:pt idx="46">
                  <c:v>9.8030280612244933E-2</c:v>
                </c:pt>
                <c:pt idx="47">
                  <c:v>0.10230246811224492</c:v>
                </c:pt>
                <c:pt idx="48">
                  <c:v>0.10666653061224493</c:v>
                </c:pt>
                <c:pt idx="49">
                  <c:v>0.11112246811224492</c:v>
                </c:pt>
                <c:pt idx="50">
                  <c:v>0.11567028061224491</c:v>
                </c:pt>
                <c:pt idx="51">
                  <c:v>0.12030996811224492</c:v>
                </c:pt>
                <c:pt idx="52">
                  <c:v>0.12504153061224488</c:v>
                </c:pt>
                <c:pt idx="53">
                  <c:v>0.12986496811224488</c:v>
                </c:pt>
                <c:pt idx="54">
                  <c:v>0.13478028061224495</c:v>
                </c:pt>
                <c:pt idx="55">
                  <c:v>0.13978746811224491</c:v>
                </c:pt>
                <c:pt idx="56">
                  <c:v>0.14488653061224496</c:v>
                </c:pt>
                <c:pt idx="57">
                  <c:v>0.1500774681122449</c:v>
                </c:pt>
                <c:pt idx="58">
                  <c:v>0.15536028061224488</c:v>
                </c:pt>
                <c:pt idx="59">
                  <c:v>0.16073496811224494</c:v>
                </c:pt>
                <c:pt idx="60">
                  <c:v>0.16620153061224491</c:v>
                </c:pt>
                <c:pt idx="61">
                  <c:v>0.17175996811224498</c:v>
                </c:pt>
                <c:pt idx="62">
                  <c:v>0.17741028061224492</c:v>
                </c:pt>
                <c:pt idx="63">
                  <c:v>0.18315246811224495</c:v>
                </c:pt>
                <c:pt idx="64">
                  <c:v>0.18898653061224494</c:v>
                </c:pt>
                <c:pt idx="65">
                  <c:v>0.19491246811224489</c:v>
                </c:pt>
                <c:pt idx="66">
                  <c:v>0.20093028061224497</c:v>
                </c:pt>
                <c:pt idx="67">
                  <c:v>0.20703996811224493</c:v>
                </c:pt>
                <c:pt idx="68">
                  <c:v>0.21324153061224491</c:v>
                </c:pt>
                <c:pt idx="69">
                  <c:v>0.21953496811224496</c:v>
                </c:pt>
                <c:pt idx="70">
                  <c:v>0.22592028061224492</c:v>
                </c:pt>
                <c:pt idx="71">
                  <c:v>0.23239746811224501</c:v>
                </c:pt>
                <c:pt idx="72">
                  <c:v>0.23896653061224499</c:v>
                </c:pt>
                <c:pt idx="73">
                  <c:v>0.2456274681122449</c:v>
                </c:pt>
                <c:pt idx="74">
                  <c:v>0.25238028061224488</c:v>
                </c:pt>
                <c:pt idx="75">
                  <c:v>0.25922496811224494</c:v>
                </c:pt>
                <c:pt idx="76">
                  <c:v>0.26616153061224501</c:v>
                </c:pt>
                <c:pt idx="77">
                  <c:v>0.27318996811224489</c:v>
                </c:pt>
                <c:pt idx="78">
                  <c:v>0.28031028061224494</c:v>
                </c:pt>
                <c:pt idx="79">
                  <c:v>0.28752246811224497</c:v>
                </c:pt>
                <c:pt idx="80">
                  <c:v>0.2948265306122449</c:v>
                </c:pt>
                <c:pt idx="81">
                  <c:v>0.3022224681122449</c:v>
                </c:pt>
                <c:pt idx="82">
                  <c:v>0.30971028061224493</c:v>
                </c:pt>
                <c:pt idx="83">
                  <c:v>0.31728996811224491</c:v>
                </c:pt>
                <c:pt idx="84">
                  <c:v>0.32496153061224492</c:v>
                </c:pt>
                <c:pt idx="85">
                  <c:v>0.33272496811224489</c:v>
                </c:pt>
                <c:pt idx="86">
                  <c:v>0.34058028061224482</c:v>
                </c:pt>
                <c:pt idx="87">
                  <c:v>0.34852746811224494</c:v>
                </c:pt>
                <c:pt idx="88">
                  <c:v>0.35656653061224491</c:v>
                </c:pt>
                <c:pt idx="89">
                  <c:v>0.36469746811224496</c:v>
                </c:pt>
                <c:pt idx="90">
                  <c:v>0.37292028061224491</c:v>
                </c:pt>
                <c:pt idx="91">
                  <c:v>0.38123496811224483</c:v>
                </c:pt>
                <c:pt idx="92">
                  <c:v>0.38964153061224494</c:v>
                </c:pt>
                <c:pt idx="93">
                  <c:v>0.39813996811224489</c:v>
                </c:pt>
                <c:pt idx="94">
                  <c:v>0.40673028061224475</c:v>
                </c:pt>
                <c:pt idx="95">
                  <c:v>0.41541246811224491</c:v>
                </c:pt>
                <c:pt idx="96">
                  <c:v>0.42418653061224482</c:v>
                </c:pt>
                <c:pt idx="97">
                  <c:v>0.43305246811224507</c:v>
                </c:pt>
                <c:pt idx="98">
                  <c:v>0.44201028061224495</c:v>
                </c:pt>
                <c:pt idx="99">
                  <c:v>0.45105996811224497</c:v>
                </c:pt>
                <c:pt idx="100">
                  <c:v>0.46020153061224478</c:v>
                </c:pt>
                <c:pt idx="101">
                  <c:v>0.46943496811224489</c:v>
                </c:pt>
                <c:pt idx="102">
                  <c:v>0.47876028061224496</c:v>
                </c:pt>
                <c:pt idx="103">
                  <c:v>0.48817746811224505</c:v>
                </c:pt>
                <c:pt idx="104">
                  <c:v>0.49768653061224472</c:v>
                </c:pt>
                <c:pt idx="105">
                  <c:v>0.5072874681122449</c:v>
                </c:pt>
                <c:pt idx="106">
                  <c:v>0.51698028061224488</c:v>
                </c:pt>
                <c:pt idx="107">
                  <c:v>0.52676496811224505</c:v>
                </c:pt>
                <c:pt idx="108">
                  <c:v>0.53664153061224507</c:v>
                </c:pt>
                <c:pt idx="109">
                  <c:v>0.54660996811224494</c:v>
                </c:pt>
                <c:pt idx="110">
                  <c:v>0.55667028061224488</c:v>
                </c:pt>
                <c:pt idx="111">
                  <c:v>0.56682246811224501</c:v>
                </c:pt>
                <c:pt idx="112">
                  <c:v>0.577066530612245</c:v>
                </c:pt>
                <c:pt idx="113">
                  <c:v>0.58740246811224506</c:v>
                </c:pt>
                <c:pt idx="114">
                  <c:v>0.59783028061224497</c:v>
                </c:pt>
                <c:pt idx="115">
                  <c:v>0.60834996811224484</c:v>
                </c:pt>
                <c:pt idx="116">
                  <c:v>0.6189615306122449</c:v>
                </c:pt>
                <c:pt idx="117">
                  <c:v>0.62966496811224504</c:v>
                </c:pt>
                <c:pt idx="118">
                  <c:v>0.64046028061224503</c:v>
                </c:pt>
                <c:pt idx="119">
                  <c:v>0.65134746811224487</c:v>
                </c:pt>
                <c:pt idx="120">
                  <c:v>0.662326530612245</c:v>
                </c:pt>
                <c:pt idx="121">
                  <c:v>0.67339746811224499</c:v>
                </c:pt>
                <c:pt idx="122">
                  <c:v>0.68456028061224528</c:v>
                </c:pt>
                <c:pt idx="123">
                  <c:v>0.69581496811224508</c:v>
                </c:pt>
                <c:pt idx="124">
                  <c:v>0.70716153061224518</c:v>
                </c:pt>
                <c:pt idx="125">
                  <c:v>0.71859996811224491</c:v>
                </c:pt>
                <c:pt idx="126">
                  <c:v>0.73013028061224494</c:v>
                </c:pt>
                <c:pt idx="127">
                  <c:v>0.74175246811224538</c:v>
                </c:pt>
                <c:pt idx="128">
                  <c:v>0.75346653061224511</c:v>
                </c:pt>
                <c:pt idx="129">
                  <c:v>0.76527246811224503</c:v>
                </c:pt>
                <c:pt idx="130">
                  <c:v>0.77717028061224491</c:v>
                </c:pt>
                <c:pt idx="131">
                  <c:v>0.78915996811224487</c:v>
                </c:pt>
                <c:pt idx="132">
                  <c:v>0.80124153061224523</c:v>
                </c:pt>
                <c:pt idx="133">
                  <c:v>0.81341496811224512</c:v>
                </c:pt>
                <c:pt idx="134">
                  <c:v>0.82568028061224508</c:v>
                </c:pt>
                <c:pt idx="135">
                  <c:v>0.83803746811224489</c:v>
                </c:pt>
                <c:pt idx="136">
                  <c:v>0.85048653061224511</c:v>
                </c:pt>
                <c:pt idx="137">
                  <c:v>0.8630274681122454</c:v>
                </c:pt>
                <c:pt idx="138">
                  <c:v>0.87566028061224499</c:v>
                </c:pt>
                <c:pt idx="139">
                  <c:v>0.88838496811224499</c:v>
                </c:pt>
                <c:pt idx="140">
                  <c:v>0.90120153061224506</c:v>
                </c:pt>
                <c:pt idx="141">
                  <c:v>0.91410996811224499</c:v>
                </c:pt>
                <c:pt idx="142">
                  <c:v>0.92711028061224532</c:v>
                </c:pt>
                <c:pt idx="143">
                  <c:v>0.94020246811224506</c:v>
                </c:pt>
                <c:pt idx="144">
                  <c:v>0.95338653061224499</c:v>
                </c:pt>
                <c:pt idx="145">
                  <c:v>0.9666624681122451</c:v>
                </c:pt>
                <c:pt idx="146">
                  <c:v>0.98003028061224495</c:v>
                </c:pt>
                <c:pt idx="147">
                  <c:v>0.99348996811224544</c:v>
                </c:pt>
                <c:pt idx="148">
                  <c:v>1.0070415306122449</c:v>
                </c:pt>
                <c:pt idx="149">
                  <c:v>1.020684968112245</c:v>
                </c:pt>
                <c:pt idx="150">
                  <c:v>1.0344202806122451</c:v>
                </c:pt>
              </c:numCache>
            </c:numRef>
          </c:yVal>
          <c:smooth val="1"/>
          <c:extLst>
            <c:ext xmlns:c16="http://schemas.microsoft.com/office/drawing/2014/chart" uri="{C3380CC4-5D6E-409C-BE32-E72D297353CC}">
              <c16:uniqueId val="{00000003-50A0-4BAE-A18F-D1A285C4A90E}"/>
            </c:ext>
          </c:extLst>
        </c:ser>
        <c:dLbls>
          <c:showLegendKey val="0"/>
          <c:showVal val="0"/>
          <c:showCatName val="0"/>
          <c:showSerName val="0"/>
          <c:showPercent val="0"/>
          <c:showBubbleSize val="0"/>
        </c:dLbls>
        <c:axId val="555656704"/>
        <c:axId val="555646336"/>
      </c:scatterChart>
      <c:valAx>
        <c:axId val="555642880"/>
        <c:scaling>
          <c:orientation val="minMax"/>
        </c:scaling>
        <c:delete val="0"/>
        <c:axPos val="b"/>
        <c:majorGridlines/>
        <c:numFmt formatCode="General" sourceLinked="1"/>
        <c:majorTickMark val="out"/>
        <c:minorTickMark val="none"/>
        <c:tickLblPos val="nextTo"/>
        <c:crossAx val="555644416"/>
        <c:crosses val="autoZero"/>
        <c:crossBetween val="midCat"/>
      </c:valAx>
      <c:valAx>
        <c:axId val="55564441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55642880"/>
        <c:crosses val="autoZero"/>
        <c:crossBetween val="midCat"/>
      </c:valAx>
      <c:valAx>
        <c:axId val="55564633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55656704"/>
        <c:crosses val="max"/>
        <c:crossBetween val="midCat"/>
      </c:valAx>
      <c:valAx>
        <c:axId val="55565670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5564633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Eff_vs_IOUT!$AW$7:$AW$157</c:f>
              <c:numCache>
                <c:formatCode>General</c:formatCode>
                <c:ptCount val="151"/>
                <c:pt idx="0">
                  <c:v>0</c:v>
                </c:pt>
                <c:pt idx="1">
                  <c:v>53.459301846620477</c:v>
                </c:pt>
                <c:pt idx="2">
                  <c:v>67.515703507297758</c:v>
                </c:pt>
                <c:pt idx="3">
                  <c:v>73.942423923512408</c:v>
                </c:pt>
                <c:pt idx="4">
                  <c:v>77.599217418940668</c:v>
                </c:pt>
                <c:pt idx="5">
                  <c:v>79.945292447295415</c:v>
                </c:pt>
                <c:pt idx="6">
                  <c:v>81.569722957003378</c:v>
                </c:pt>
                <c:pt idx="7">
                  <c:v>82.75547106836116</c:v>
                </c:pt>
                <c:pt idx="8">
                  <c:v>84.035984136670734</c:v>
                </c:pt>
                <c:pt idx="9">
                  <c:v>85.240695671386604</c:v>
                </c:pt>
                <c:pt idx="10">
                  <c:v>86.226790478464892</c:v>
                </c:pt>
                <c:pt idx="11">
                  <c:v>87.048103273959924</c:v>
                </c:pt>
                <c:pt idx="12">
                  <c:v>87.742134216002043</c:v>
                </c:pt>
                <c:pt idx="13">
                  <c:v>88.335807393701259</c:v>
                </c:pt>
                <c:pt idx="14">
                  <c:v>88.848953686893338</c:v>
                </c:pt>
                <c:pt idx="15">
                  <c:v>89.296502324721558</c:v>
                </c:pt>
                <c:pt idx="16">
                  <c:v>89.689907191777863</c:v>
                </c:pt>
                <c:pt idx="17">
                  <c:v>90.038102484445943</c:v>
                </c:pt>
                <c:pt idx="18">
                  <c:v>90.34815946036241</c:v>
                </c:pt>
                <c:pt idx="19">
                  <c:v>90.625747949708853</c:v>
                </c:pt>
                <c:pt idx="20">
                  <c:v>90.875467145428502</c:v>
                </c:pt>
                <c:pt idx="21">
                  <c:v>91.101086922266674</c:v>
                </c:pt>
                <c:pt idx="22">
                  <c:v>91.305726700015668</c:v>
                </c:pt>
                <c:pt idx="23">
                  <c:v>91.491989929371528</c:v>
                </c:pt>
                <c:pt idx="24">
                  <c:v>91.662066535764254</c:v>
                </c:pt>
                <c:pt idx="25">
                  <c:v>91.817811887558648</c:v>
                </c:pt>
                <c:pt idx="26">
                  <c:v>91.960808333920866</c:v>
                </c:pt>
                <c:pt idx="27">
                  <c:v>92.092413641635517</c:v>
                </c:pt>
                <c:pt idx="28">
                  <c:v>92.213799473362684</c:v>
                </c:pt>
                <c:pt idx="29">
                  <c:v>92.325982216908599</c:v>
                </c:pt>
                <c:pt idx="30">
                  <c:v>92.429847882563124</c:v>
                </c:pt>
                <c:pt idx="31">
                  <c:v>92.526172358734414</c:v>
                </c:pt>
                <c:pt idx="32">
                  <c:v>92.615638005054393</c:v>
                </c:pt>
                <c:pt idx="33">
                  <c:v>92.698847332967233</c:v>
                </c:pt>
                <c:pt idx="34">
                  <c:v>92.776334353274237</c:v>
                </c:pt>
                <c:pt idx="35">
                  <c:v>92.84857404198786</c:v>
                </c:pt>
                <c:pt idx="36">
                  <c:v>92.915990278738036</c:v>
                </c:pt>
                <c:pt idx="37">
                  <c:v>92.978962537753986</c:v>
                </c:pt>
                <c:pt idx="38">
                  <c:v>93.037831554272586</c:v>
                </c:pt>
                <c:pt idx="39">
                  <c:v>93.092904144856846</c:v>
                </c:pt>
                <c:pt idx="40">
                  <c:v>93.144457325436761</c:v>
                </c:pt>
                <c:pt idx="41">
                  <c:v>93.19274184361133</c:v>
                </c:pt>
                <c:pt idx="42">
                  <c:v>93.237985220160013</c:v>
                </c:pt>
                <c:pt idx="43">
                  <c:v>93.280394377520835</c:v>
                </c:pt>
                <c:pt idx="44">
                  <c:v>93.3201579192243</c:v>
                </c:pt>
                <c:pt idx="45">
                  <c:v>93.357448113188141</c:v>
                </c:pt>
                <c:pt idx="46">
                  <c:v>93.392422622807644</c:v>
                </c:pt>
                <c:pt idx="47">
                  <c:v>93.425226022481638</c:v>
                </c:pt>
                <c:pt idx="48">
                  <c:v>93.455991128254396</c:v>
                </c:pt>
                <c:pt idx="49">
                  <c:v>93.484840169362855</c:v>
                </c:pt>
                <c:pt idx="50">
                  <c:v>93.511885822447766</c:v>
                </c:pt>
                <c:pt idx="51">
                  <c:v>93.53723212685118</c:v>
                </c:pt>
                <c:pt idx="52">
                  <c:v>93.560975296651918</c:v>
                </c:pt>
                <c:pt idx="53">
                  <c:v>93.583204442779859</c:v>
                </c:pt>
                <c:pt idx="54">
                  <c:v>93.604002216615157</c:v>
                </c:pt>
                <c:pt idx="55">
                  <c:v>93.623445384855131</c:v>
                </c:pt>
                <c:pt idx="56">
                  <c:v>93.641605344062654</c:v>
                </c:pt>
                <c:pt idx="57">
                  <c:v>93.658548582152591</c:v>
                </c:pt>
                <c:pt idx="58">
                  <c:v>93.674337093092802</c:v>
                </c:pt>
                <c:pt idx="59">
                  <c:v>93.689028750260917</c:v>
                </c:pt>
                <c:pt idx="60">
                  <c:v>93.702677643187627</c:v>
                </c:pt>
                <c:pt idx="61">
                  <c:v>93.715334381807537</c:v>
                </c:pt>
                <c:pt idx="62">
                  <c:v>93.727046371817863</c:v>
                </c:pt>
                <c:pt idx="63">
                  <c:v>93.737858064295949</c:v>
                </c:pt>
                <c:pt idx="64">
                  <c:v>93.747811182339532</c:v>
                </c:pt>
                <c:pt idx="65">
                  <c:v>93.756944927160703</c:v>
                </c:pt>
                <c:pt idx="66">
                  <c:v>93.765296165773705</c:v>
                </c:pt>
                <c:pt idx="67">
                  <c:v>93.77289960216666</c:v>
                </c:pt>
                <c:pt idx="68">
                  <c:v>93.779787933628057</c:v>
                </c:pt>
                <c:pt idx="69">
                  <c:v>93.785991993708919</c:v>
                </c:pt>
                <c:pt idx="70">
                  <c:v>93.791540883134473</c:v>
                </c:pt>
                <c:pt idx="71">
                  <c:v>93.796462089834478</c:v>
                </c:pt>
                <c:pt idx="72">
                  <c:v>93.800781599132449</c:v>
                </c:pt>
                <c:pt idx="73">
                  <c:v>93.804523995022876</c:v>
                </c:pt>
                <c:pt idx="74">
                  <c:v>93.807712553365889</c:v>
                </c:pt>
                <c:pt idx="75">
                  <c:v>93.810369327742038</c:v>
                </c:pt>
                <c:pt idx="76">
                  <c:v>93.812515228633202</c:v>
                </c:pt>
                <c:pt idx="77">
                  <c:v>93.814170096526595</c:v>
                </c:pt>
                <c:pt idx="78">
                  <c:v>93.815352769479716</c:v>
                </c:pt>
                <c:pt idx="79">
                  <c:v>93.816081145629255</c:v>
                </c:pt>
                <c:pt idx="80">
                  <c:v>93.816372241080302</c:v>
                </c:pt>
                <c:pt idx="81">
                  <c:v>93.816242243569107</c:v>
                </c:pt>
                <c:pt idx="82">
                  <c:v>93.815706562255116</c:v>
                </c:pt>
                <c:pt idx="83">
                  <c:v>93.814779873964369</c:v>
                </c:pt>
                <c:pt idx="84">
                  <c:v>93.813476166175334</c:v>
                </c:pt>
                <c:pt idx="85">
                  <c:v>93.811808777012402</c:v>
                </c:pt>
                <c:pt idx="86">
                  <c:v>93.809790432486835</c:v>
                </c:pt>
                <c:pt idx="87">
                  <c:v>93.807433281203913</c:v>
                </c:pt>
                <c:pt idx="88">
                  <c:v>93.804748926734959</c:v>
                </c:pt>
                <c:pt idx="89">
                  <c:v>93.801748457835785</c:v>
                </c:pt>
                <c:pt idx="90">
                  <c:v>93.79844247667657</c:v>
                </c:pt>
                <c:pt idx="91">
                  <c:v>93.794841125234257</c:v>
                </c:pt>
                <c:pt idx="92">
                  <c:v>93.79095410998589</c:v>
                </c:pt>
                <c:pt idx="93">
                  <c:v>93.786790725028368</c:v>
                </c:pt>
                <c:pt idx="94">
                  <c:v>93.7823598737412</c:v>
                </c:pt>
                <c:pt idx="95">
                  <c:v>93.777670089097739</c:v>
                </c:pt>
                <c:pt idx="96">
                  <c:v>93.772729552722467</c:v>
                </c:pt>
                <c:pt idx="97">
                  <c:v>93.767546112783577</c:v>
                </c:pt>
                <c:pt idx="98">
                  <c:v>93.762127300803357</c:v>
                </c:pt>
                <c:pt idx="99">
                  <c:v>93.756480347461618</c:v>
                </c:pt>
                <c:pt idx="100">
                  <c:v>93.750612197462075</c:v>
                </c:pt>
                <c:pt idx="101">
                  <c:v>93.74452952352577</c:v>
                </c:pt>
                <c:pt idx="102">
                  <c:v>93.738238739570861</c:v>
                </c:pt>
                <c:pt idx="103">
                  <c:v>93.731746013133289</c:v>
                </c:pt>
                <c:pt idx="104">
                  <c:v>93.725057277078946</c:v>
                </c:pt>
                <c:pt idx="105">
                  <c:v>93.718178240654112</c:v>
                </c:pt>
                <c:pt idx="106">
                  <c:v>93.711114399917165</c:v>
                </c:pt>
                <c:pt idx="107">
                  <c:v>93.703871047591832</c:v>
                </c:pt>
                <c:pt idx="108">
                  <c:v>93.696453282378968</c:v>
                </c:pt>
                <c:pt idx="109">
                  <c:v>93.688866017761185</c:v>
                </c:pt>
                <c:pt idx="110">
                  <c:v>93.68111399033242</c:v>
                </c:pt>
                <c:pt idx="111">
                  <c:v>93.673201767681974</c:v>
                </c:pt>
                <c:pt idx="112">
                  <c:v>93.66513375586058</c:v>
                </c:pt>
                <c:pt idx="113">
                  <c:v>93.656914206454204</c:v>
                </c:pt>
                <c:pt idx="114">
                  <c:v>93.648547223289285</c:v>
                </c:pt>
                <c:pt idx="115">
                  <c:v>93.640036768791873</c:v>
                </c:pt>
                <c:pt idx="116">
                  <c:v>93.631386670020831</c:v>
                </c:pt>
                <c:pt idx="117">
                  <c:v>93.622600624395176</c:v>
                </c:pt>
                <c:pt idx="118">
                  <c:v>93.613682205132704</c:v>
                </c:pt>
                <c:pt idx="119">
                  <c:v>93.604634866417342</c:v>
                </c:pt>
                <c:pt idx="120">
                  <c:v>93.595461948310515</c:v>
                </c:pt>
                <c:pt idx="121">
                  <c:v>93.586166681421446</c:v>
                </c:pt>
                <c:pt idx="122">
                  <c:v>93.576752191349883</c:v>
                </c:pt>
                <c:pt idx="123">
                  <c:v>93.567221502914151</c:v>
                </c:pt>
                <c:pt idx="124">
                  <c:v>93.557577544176738</c:v>
                </c:pt>
                <c:pt idx="125">
                  <c:v>93.547823150278248</c:v>
                </c:pt>
                <c:pt idx="126">
                  <c:v>93.537961067090549</c:v>
                </c:pt>
                <c:pt idx="127">
                  <c:v>93.527993954698971</c:v>
                </c:pt>
                <c:pt idx="128">
                  <c:v>93.517924390722811</c:v>
                </c:pt>
                <c:pt idx="129">
                  <c:v>93.507754873482654</c:v>
                </c:pt>
                <c:pt idx="130">
                  <c:v>93.497487825022873</c:v>
                </c:pt>
                <c:pt idx="131">
                  <c:v>93.487125593997092</c:v>
                </c:pt>
                <c:pt idx="132">
                  <c:v>93.476670458423428</c:v>
                </c:pt>
                <c:pt idx="133">
                  <c:v>93.466124628316649</c:v>
                </c:pt>
                <c:pt idx="134">
                  <c:v>93.45549024820356</c:v>
                </c:pt>
                <c:pt idx="135">
                  <c:v>93.444769399527402</c:v>
                </c:pt>
                <c:pt idx="136">
                  <c:v>93.433964102947243</c:v>
                </c:pt>
                <c:pt idx="137">
                  <c:v>93.423076320537461</c:v>
                </c:pt>
                <c:pt idx="138">
                  <c:v>93.412107957892431</c:v>
                </c:pt>
                <c:pt idx="139">
                  <c:v>93.401060866141023</c:v>
                </c:pt>
                <c:pt idx="140">
                  <c:v>93.389936843875773</c:v>
                </c:pt>
                <c:pt idx="141">
                  <c:v>93.378737639000221</c:v>
                </c:pt>
                <c:pt idx="142">
                  <c:v>93.36746495049924</c:v>
                </c:pt>
                <c:pt idx="143">
                  <c:v>93.356120430135476</c:v>
                </c:pt>
                <c:pt idx="144">
                  <c:v>93.344705684075663</c:v>
                </c:pt>
                <c:pt idx="145">
                  <c:v>93.33322227445035</c:v>
                </c:pt>
                <c:pt idx="146">
                  <c:v>93.321671720849878</c:v>
                </c:pt>
                <c:pt idx="147">
                  <c:v>93.310055501759877</c:v>
                </c:pt>
                <c:pt idx="148">
                  <c:v>93.29837505593899</c:v>
                </c:pt>
                <c:pt idx="149">
                  <c:v>93.286631783741555</c:v>
                </c:pt>
                <c:pt idx="150">
                  <c:v>93.274827048387849</c:v>
                </c:pt>
              </c:numCache>
            </c:numRef>
          </c:yVal>
          <c:smooth val="0"/>
          <c:extLst>
            <c:ext xmlns:c16="http://schemas.microsoft.com/office/drawing/2014/chart" uri="{C3380CC4-5D6E-409C-BE32-E72D297353CC}">
              <c16:uniqueId val="{00000000-7DAF-432D-B540-E0424C156B7E}"/>
            </c:ext>
          </c:extLst>
        </c:ser>
        <c:dLbls>
          <c:showLegendKey val="0"/>
          <c:showVal val="0"/>
          <c:showCatName val="0"/>
          <c:showSerName val="0"/>
          <c:showPercent val="0"/>
          <c:showBubbleSize val="0"/>
        </c:dLbls>
        <c:axId val="522488064"/>
        <c:axId val="522489856"/>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Eff_vs_IOUT!$AI$7:$AI$157</c:f>
              <c:numCache>
                <c:formatCode>General</c:formatCode>
                <c:ptCount val="151"/>
                <c:pt idx="0">
                  <c:v>0</c:v>
                </c:pt>
                <c:pt idx="1">
                  <c:v>6.9089962484580061E-2</c:v>
                </c:pt>
                <c:pt idx="2">
                  <c:v>0.13852572755899556</c:v>
                </c:pt>
                <c:pt idx="3">
                  <c:v>0.20818660682803392</c:v>
                </c:pt>
                <c:pt idx="4">
                  <c:v>0.27802953254288915</c:v>
                </c:pt>
                <c:pt idx="5">
                  <c:v>0.34802961392302034</c:v>
                </c:pt>
                <c:pt idx="6">
                  <c:v>0.41817005662101947</c:v>
                </c:pt>
                <c:pt idx="7">
                  <c:v>0.48843853147923966</c:v>
                </c:pt>
                <c:pt idx="8">
                  <c:v>0.55885046877828981</c:v>
                </c:pt>
                <c:pt idx="9">
                  <c:v>0.62948651061172767</c:v>
                </c:pt>
                <c:pt idx="10">
                  <c:v>0.70035355244516539</c:v>
                </c:pt>
                <c:pt idx="11">
                  <c:v>0.77145159427860344</c:v>
                </c:pt>
                <c:pt idx="12">
                  <c:v>0.84278063611204102</c:v>
                </c:pt>
                <c:pt idx="13">
                  <c:v>0.91434067794547891</c:v>
                </c:pt>
                <c:pt idx="14">
                  <c:v>0.98613171977891678</c:v>
                </c:pt>
                <c:pt idx="15">
                  <c:v>1.0581537616123546</c:v>
                </c:pt>
                <c:pt idx="16">
                  <c:v>1.1304068034457926</c:v>
                </c:pt>
                <c:pt idx="17">
                  <c:v>1.2028908452792304</c:v>
                </c:pt>
                <c:pt idx="18">
                  <c:v>1.2756058871126683</c:v>
                </c:pt>
                <c:pt idx="19">
                  <c:v>1.3485519289461063</c:v>
                </c:pt>
                <c:pt idx="20">
                  <c:v>1.4217289707795437</c:v>
                </c:pt>
                <c:pt idx="21">
                  <c:v>1.4951370126129817</c:v>
                </c:pt>
                <c:pt idx="22">
                  <c:v>1.5687760544464198</c:v>
                </c:pt>
                <c:pt idx="23">
                  <c:v>1.6426460962798572</c:v>
                </c:pt>
                <c:pt idx="24">
                  <c:v>1.7167471381132948</c:v>
                </c:pt>
                <c:pt idx="25">
                  <c:v>1.7910791799467329</c:v>
                </c:pt>
                <c:pt idx="26">
                  <c:v>1.8656422217801707</c:v>
                </c:pt>
                <c:pt idx="27">
                  <c:v>1.9404362636136088</c:v>
                </c:pt>
                <c:pt idx="28">
                  <c:v>2.0154613054470465</c:v>
                </c:pt>
                <c:pt idx="29">
                  <c:v>2.0907173472804841</c:v>
                </c:pt>
                <c:pt idx="30">
                  <c:v>2.166204389113922</c:v>
                </c:pt>
                <c:pt idx="31">
                  <c:v>2.2419224309473602</c:v>
                </c:pt>
                <c:pt idx="32">
                  <c:v>2.3178714727807979</c:v>
                </c:pt>
                <c:pt idx="33">
                  <c:v>2.3940515146142358</c:v>
                </c:pt>
                <c:pt idx="34">
                  <c:v>2.4704625564476737</c:v>
                </c:pt>
                <c:pt idx="35">
                  <c:v>2.5471045982811109</c:v>
                </c:pt>
                <c:pt idx="36">
                  <c:v>2.6239776401145494</c:v>
                </c:pt>
                <c:pt idx="37">
                  <c:v>2.7010816819479873</c:v>
                </c:pt>
                <c:pt idx="38">
                  <c:v>2.7784167237814255</c:v>
                </c:pt>
                <c:pt idx="39">
                  <c:v>2.8559827656148626</c:v>
                </c:pt>
                <c:pt idx="40">
                  <c:v>2.9337798074483001</c:v>
                </c:pt>
                <c:pt idx="41">
                  <c:v>3.0118078492817384</c:v>
                </c:pt>
                <c:pt idx="42">
                  <c:v>3.0900668911151761</c:v>
                </c:pt>
                <c:pt idx="43">
                  <c:v>3.1685569329486132</c:v>
                </c:pt>
                <c:pt idx="44">
                  <c:v>3.2472779747820519</c:v>
                </c:pt>
                <c:pt idx="45">
                  <c:v>3.3262300166154892</c:v>
                </c:pt>
                <c:pt idx="46">
                  <c:v>3.4054130584489273</c:v>
                </c:pt>
                <c:pt idx="47">
                  <c:v>3.4848271002823652</c:v>
                </c:pt>
                <c:pt idx="48">
                  <c:v>3.5644721421158025</c:v>
                </c:pt>
                <c:pt idx="49">
                  <c:v>3.6443481839492411</c:v>
                </c:pt>
                <c:pt idx="50">
                  <c:v>3.7244552257826786</c:v>
                </c:pt>
                <c:pt idx="51">
                  <c:v>3.804793267616116</c:v>
                </c:pt>
                <c:pt idx="52">
                  <c:v>3.8853623094495542</c:v>
                </c:pt>
                <c:pt idx="53">
                  <c:v>3.9661623512829922</c:v>
                </c:pt>
                <c:pt idx="54">
                  <c:v>4.0471933931164301</c:v>
                </c:pt>
                <c:pt idx="55">
                  <c:v>4.1284554349498679</c:v>
                </c:pt>
                <c:pt idx="56">
                  <c:v>4.209948476783306</c:v>
                </c:pt>
                <c:pt idx="57">
                  <c:v>4.2916725186167435</c:v>
                </c:pt>
                <c:pt idx="58">
                  <c:v>4.3736275604501813</c:v>
                </c:pt>
                <c:pt idx="59">
                  <c:v>4.4558136022836203</c:v>
                </c:pt>
                <c:pt idx="60">
                  <c:v>4.538230644117057</c:v>
                </c:pt>
                <c:pt idx="61">
                  <c:v>4.6208786859504949</c:v>
                </c:pt>
                <c:pt idx="62">
                  <c:v>4.7037577277839331</c:v>
                </c:pt>
                <c:pt idx="63">
                  <c:v>4.7868677696173698</c:v>
                </c:pt>
                <c:pt idx="64">
                  <c:v>4.8702088114508086</c:v>
                </c:pt>
                <c:pt idx="65">
                  <c:v>4.953780853284246</c:v>
                </c:pt>
                <c:pt idx="66">
                  <c:v>5.0375838951176846</c:v>
                </c:pt>
                <c:pt idx="67">
                  <c:v>5.1216179369511217</c:v>
                </c:pt>
                <c:pt idx="68">
                  <c:v>5.20588297878456</c:v>
                </c:pt>
                <c:pt idx="69">
                  <c:v>5.2903790206179977</c:v>
                </c:pt>
                <c:pt idx="70">
                  <c:v>5.3751060624514349</c:v>
                </c:pt>
                <c:pt idx="71">
                  <c:v>5.4600641042848741</c:v>
                </c:pt>
                <c:pt idx="72">
                  <c:v>5.5452531461183119</c:v>
                </c:pt>
                <c:pt idx="73">
                  <c:v>5.6306731879517491</c:v>
                </c:pt>
                <c:pt idx="74">
                  <c:v>5.7163242297851875</c:v>
                </c:pt>
                <c:pt idx="75">
                  <c:v>5.8022062716186245</c:v>
                </c:pt>
                <c:pt idx="76">
                  <c:v>5.8883193134520635</c:v>
                </c:pt>
                <c:pt idx="77">
                  <c:v>5.9746633552855002</c:v>
                </c:pt>
                <c:pt idx="78">
                  <c:v>6.061238397118939</c:v>
                </c:pt>
                <c:pt idx="79">
                  <c:v>6.1480444389523772</c:v>
                </c:pt>
                <c:pt idx="80">
                  <c:v>6.2350814807858139</c:v>
                </c:pt>
                <c:pt idx="81">
                  <c:v>6.3223495226192501</c:v>
                </c:pt>
                <c:pt idx="82">
                  <c:v>6.4098485644526892</c:v>
                </c:pt>
                <c:pt idx="83">
                  <c:v>6.4975786062861287</c:v>
                </c:pt>
                <c:pt idx="84">
                  <c:v>6.5855396481195658</c:v>
                </c:pt>
                <c:pt idx="85">
                  <c:v>6.6737316899530024</c:v>
                </c:pt>
                <c:pt idx="86">
                  <c:v>6.7621547317864392</c:v>
                </c:pt>
                <c:pt idx="87">
                  <c:v>6.8508087736198782</c:v>
                </c:pt>
                <c:pt idx="88">
                  <c:v>6.9396938154533174</c:v>
                </c:pt>
                <c:pt idx="89">
                  <c:v>7.0288098572867561</c:v>
                </c:pt>
                <c:pt idx="90">
                  <c:v>7.1181568991201907</c:v>
                </c:pt>
                <c:pt idx="91">
                  <c:v>7.2077349409536282</c:v>
                </c:pt>
                <c:pt idx="92">
                  <c:v>7.297543982787067</c:v>
                </c:pt>
                <c:pt idx="93">
                  <c:v>7.3875840246205069</c:v>
                </c:pt>
                <c:pt idx="94">
                  <c:v>7.4778550664539427</c:v>
                </c:pt>
                <c:pt idx="95">
                  <c:v>7.5683571082873815</c:v>
                </c:pt>
                <c:pt idx="96">
                  <c:v>7.659090150120818</c:v>
                </c:pt>
                <c:pt idx="97">
                  <c:v>7.7500541919542565</c:v>
                </c:pt>
                <c:pt idx="98">
                  <c:v>7.8412492337876953</c:v>
                </c:pt>
                <c:pt idx="99">
                  <c:v>7.9326752756211318</c:v>
                </c:pt>
                <c:pt idx="100">
                  <c:v>8.0243323174545704</c:v>
                </c:pt>
                <c:pt idx="101">
                  <c:v>8.1162203592880076</c:v>
                </c:pt>
                <c:pt idx="102">
                  <c:v>8.2083394011214459</c:v>
                </c:pt>
                <c:pt idx="103">
                  <c:v>8.3006894429548854</c:v>
                </c:pt>
                <c:pt idx="104">
                  <c:v>8.3932704847883208</c:v>
                </c:pt>
                <c:pt idx="105">
                  <c:v>8.4860825266217592</c:v>
                </c:pt>
                <c:pt idx="106">
                  <c:v>8.579125568455197</c:v>
                </c:pt>
                <c:pt idx="107">
                  <c:v>8.6723996102886343</c:v>
                </c:pt>
                <c:pt idx="108">
                  <c:v>8.7659046521220745</c:v>
                </c:pt>
                <c:pt idx="109">
                  <c:v>8.8596406939555106</c:v>
                </c:pt>
                <c:pt idx="110">
                  <c:v>8.9536077357889479</c:v>
                </c:pt>
                <c:pt idx="111">
                  <c:v>9.0478057776223864</c:v>
                </c:pt>
                <c:pt idx="112">
                  <c:v>9.1422348194558243</c:v>
                </c:pt>
                <c:pt idx="113">
                  <c:v>9.2368948612892634</c:v>
                </c:pt>
                <c:pt idx="114">
                  <c:v>9.3317859031227002</c:v>
                </c:pt>
                <c:pt idx="115">
                  <c:v>9.4269079449561364</c:v>
                </c:pt>
                <c:pt idx="116">
                  <c:v>9.5222609867895756</c:v>
                </c:pt>
                <c:pt idx="117">
                  <c:v>9.6178450286230124</c:v>
                </c:pt>
                <c:pt idx="118">
                  <c:v>9.7136600704564522</c:v>
                </c:pt>
                <c:pt idx="119">
                  <c:v>9.8097061122898879</c:v>
                </c:pt>
                <c:pt idx="120">
                  <c:v>9.9059831541233265</c:v>
                </c:pt>
                <c:pt idx="121">
                  <c:v>10.002491195956765</c:v>
                </c:pt>
                <c:pt idx="122">
                  <c:v>10.099230237790202</c:v>
                </c:pt>
                <c:pt idx="123">
                  <c:v>10.196200279623641</c:v>
                </c:pt>
                <c:pt idx="124">
                  <c:v>10.293401321457079</c:v>
                </c:pt>
                <c:pt idx="125">
                  <c:v>10.390833363290515</c:v>
                </c:pt>
                <c:pt idx="126">
                  <c:v>10.488496405123954</c:v>
                </c:pt>
                <c:pt idx="127">
                  <c:v>10.586390446957394</c:v>
                </c:pt>
                <c:pt idx="128">
                  <c:v>10.684515488790831</c:v>
                </c:pt>
                <c:pt idx="129">
                  <c:v>10.782871530624268</c:v>
                </c:pt>
                <c:pt idx="130">
                  <c:v>10.881458572457705</c:v>
                </c:pt>
                <c:pt idx="131">
                  <c:v>10.980276614291142</c:v>
                </c:pt>
                <c:pt idx="132">
                  <c:v>11.079325656124583</c:v>
                </c:pt>
                <c:pt idx="133">
                  <c:v>11.17860569795802</c:v>
                </c:pt>
                <c:pt idx="134">
                  <c:v>11.278116739791457</c:v>
                </c:pt>
                <c:pt idx="135">
                  <c:v>11.377858781624894</c:v>
                </c:pt>
                <c:pt idx="136">
                  <c:v>11.477831823458333</c:v>
                </c:pt>
                <c:pt idx="137">
                  <c:v>11.578035865291771</c:v>
                </c:pt>
                <c:pt idx="138">
                  <c:v>11.678470907125208</c:v>
                </c:pt>
                <c:pt idx="139">
                  <c:v>11.779136948958646</c:v>
                </c:pt>
                <c:pt idx="140">
                  <c:v>11.880033990792082</c:v>
                </c:pt>
                <c:pt idx="141">
                  <c:v>11.981162032625523</c:v>
                </c:pt>
                <c:pt idx="142">
                  <c:v>12.082521074458962</c:v>
                </c:pt>
                <c:pt idx="143">
                  <c:v>12.184111116292398</c:v>
                </c:pt>
                <c:pt idx="144">
                  <c:v>12.285932158125837</c:v>
                </c:pt>
                <c:pt idx="145">
                  <c:v>12.387984199959272</c:v>
                </c:pt>
                <c:pt idx="146">
                  <c:v>12.490267241792711</c:v>
                </c:pt>
                <c:pt idx="147">
                  <c:v>12.592781283626149</c:v>
                </c:pt>
                <c:pt idx="148">
                  <c:v>12.695526325459587</c:v>
                </c:pt>
                <c:pt idx="149">
                  <c:v>12.798502367293025</c:v>
                </c:pt>
                <c:pt idx="150">
                  <c:v>12.901709409126463</c:v>
                </c:pt>
              </c:numCache>
            </c:numRef>
          </c:yVal>
          <c:smooth val="1"/>
          <c:extLst>
            <c:ext xmlns:c16="http://schemas.microsoft.com/office/drawing/2014/chart" uri="{C3380CC4-5D6E-409C-BE32-E72D297353CC}">
              <c16:uniqueId val="{00000001-7DAF-432D-B540-E0424C156B7E}"/>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Eff_vs_IOUT!$AO$7:$AO$157</c:f>
              <c:numCache>
                <c:formatCode>General</c:formatCode>
                <c:ptCount val="151"/>
                <c:pt idx="0">
                  <c:v>0</c:v>
                </c:pt>
                <c:pt idx="1">
                  <c:v>1.4697144264058064</c:v>
                </c:pt>
                <c:pt idx="2">
                  <c:v>1.4833066970241562</c:v>
                </c:pt>
                <c:pt idx="3">
                  <c:v>1.4942733406241235</c:v>
                </c:pt>
                <c:pt idx="4">
                  <c:v>1.5039682180207503</c:v>
                </c:pt>
                <c:pt idx="5">
                  <c:v>1.5129047906683504</c:v>
                </c:pt>
                <c:pt idx="6">
                  <c:v>1.5213410210743727</c:v>
                </c:pt>
                <c:pt idx="7">
                  <c:v>1.5294270140741715</c:v>
                </c:pt>
                <c:pt idx="8">
                  <c:v>1.537369702623907</c:v>
                </c:pt>
                <c:pt idx="9">
                  <c:v>1.5455877026239071</c:v>
                </c:pt>
                <c:pt idx="10">
                  <c:v>1.5541137026239071</c:v>
                </c:pt>
                <c:pt idx="11">
                  <c:v>1.5629477026239071</c:v>
                </c:pt>
                <c:pt idx="12">
                  <c:v>1.5720897026239069</c:v>
                </c:pt>
                <c:pt idx="13">
                  <c:v>1.5815397026239071</c:v>
                </c:pt>
                <c:pt idx="14">
                  <c:v>1.591297702623907</c:v>
                </c:pt>
                <c:pt idx="15">
                  <c:v>1.6013637026239071</c:v>
                </c:pt>
                <c:pt idx="16">
                  <c:v>1.6117377026239073</c:v>
                </c:pt>
                <c:pt idx="17">
                  <c:v>1.6224197026239069</c:v>
                </c:pt>
                <c:pt idx="18">
                  <c:v>1.6334097026239069</c:v>
                </c:pt>
                <c:pt idx="19">
                  <c:v>1.644707702623907</c:v>
                </c:pt>
                <c:pt idx="20">
                  <c:v>1.656313702623907</c:v>
                </c:pt>
                <c:pt idx="21">
                  <c:v>1.668227702623907</c:v>
                </c:pt>
                <c:pt idx="22">
                  <c:v>1.6804497026239069</c:v>
                </c:pt>
                <c:pt idx="23">
                  <c:v>1.6929797026239071</c:v>
                </c:pt>
                <c:pt idx="24">
                  <c:v>1.7058177026239072</c:v>
                </c:pt>
                <c:pt idx="25">
                  <c:v>1.7189637026239069</c:v>
                </c:pt>
                <c:pt idx="26">
                  <c:v>1.7324177026239069</c:v>
                </c:pt>
                <c:pt idx="27">
                  <c:v>1.746179702623907</c:v>
                </c:pt>
                <c:pt idx="28">
                  <c:v>1.760249702623907</c:v>
                </c:pt>
                <c:pt idx="29">
                  <c:v>1.7746277026239072</c:v>
                </c:pt>
                <c:pt idx="30">
                  <c:v>1.789313702623907</c:v>
                </c:pt>
                <c:pt idx="31">
                  <c:v>1.8043077026239069</c:v>
                </c:pt>
                <c:pt idx="32">
                  <c:v>1.8196097026239071</c:v>
                </c:pt>
                <c:pt idx="33">
                  <c:v>1.8352197026239072</c:v>
                </c:pt>
                <c:pt idx="34">
                  <c:v>1.8511377026239071</c:v>
                </c:pt>
                <c:pt idx="35">
                  <c:v>1.8673637026239069</c:v>
                </c:pt>
                <c:pt idx="36">
                  <c:v>1.883897702623907</c:v>
                </c:pt>
                <c:pt idx="37">
                  <c:v>1.900739702623907</c:v>
                </c:pt>
                <c:pt idx="38">
                  <c:v>1.9178897026239072</c:v>
                </c:pt>
                <c:pt idx="39">
                  <c:v>1.935347702623907</c:v>
                </c:pt>
                <c:pt idx="40">
                  <c:v>1.9531137026239069</c:v>
                </c:pt>
                <c:pt idx="41">
                  <c:v>1.9711877026239073</c:v>
                </c:pt>
                <c:pt idx="42">
                  <c:v>1.989569702623907</c:v>
                </c:pt>
                <c:pt idx="43">
                  <c:v>2.0082597026239069</c:v>
                </c:pt>
                <c:pt idx="44">
                  <c:v>2.0272577026239071</c:v>
                </c:pt>
                <c:pt idx="45">
                  <c:v>2.046563702623907</c:v>
                </c:pt>
                <c:pt idx="46">
                  <c:v>2.0661777026239072</c:v>
                </c:pt>
                <c:pt idx="47">
                  <c:v>2.086099702623907</c:v>
                </c:pt>
                <c:pt idx="48">
                  <c:v>2.1063297026239072</c:v>
                </c:pt>
                <c:pt idx="49">
                  <c:v>2.1268677026239073</c:v>
                </c:pt>
                <c:pt idx="50">
                  <c:v>2.147713702623907</c:v>
                </c:pt>
                <c:pt idx="51">
                  <c:v>2.1688677026239072</c:v>
                </c:pt>
                <c:pt idx="52">
                  <c:v>2.1903297026239068</c:v>
                </c:pt>
                <c:pt idx="53">
                  <c:v>2.2120997026239069</c:v>
                </c:pt>
                <c:pt idx="54">
                  <c:v>2.2341777026239074</c:v>
                </c:pt>
                <c:pt idx="55">
                  <c:v>2.2565637026239074</c:v>
                </c:pt>
                <c:pt idx="56">
                  <c:v>2.2792577026239074</c:v>
                </c:pt>
                <c:pt idx="57">
                  <c:v>2.3022597026239073</c:v>
                </c:pt>
                <c:pt idx="58">
                  <c:v>2.3255697026239073</c:v>
                </c:pt>
                <c:pt idx="59">
                  <c:v>2.3491877026239076</c:v>
                </c:pt>
                <c:pt idx="60">
                  <c:v>2.3731137026239071</c:v>
                </c:pt>
                <c:pt idx="61">
                  <c:v>2.3973477026239074</c:v>
                </c:pt>
                <c:pt idx="62">
                  <c:v>2.4218897026239072</c:v>
                </c:pt>
                <c:pt idx="63">
                  <c:v>2.4467397026239071</c:v>
                </c:pt>
                <c:pt idx="64">
                  <c:v>2.4718977026239077</c:v>
                </c:pt>
                <c:pt idx="65">
                  <c:v>2.4973637026239071</c:v>
                </c:pt>
                <c:pt idx="66">
                  <c:v>2.5231377026239077</c:v>
                </c:pt>
                <c:pt idx="67">
                  <c:v>2.5492197026239074</c:v>
                </c:pt>
                <c:pt idx="68">
                  <c:v>2.5756097026239071</c:v>
                </c:pt>
                <c:pt idx="69">
                  <c:v>2.6023077026239072</c:v>
                </c:pt>
                <c:pt idx="70">
                  <c:v>2.6293137026239073</c:v>
                </c:pt>
                <c:pt idx="71">
                  <c:v>2.6566277026239073</c:v>
                </c:pt>
                <c:pt idx="72">
                  <c:v>2.6842497026239074</c:v>
                </c:pt>
                <c:pt idx="73">
                  <c:v>2.7121797026239074</c:v>
                </c:pt>
                <c:pt idx="74">
                  <c:v>2.7404177026239074</c:v>
                </c:pt>
                <c:pt idx="75">
                  <c:v>2.7689637026239073</c:v>
                </c:pt>
                <c:pt idx="76">
                  <c:v>2.7978177026239073</c:v>
                </c:pt>
                <c:pt idx="77">
                  <c:v>2.8269797026239076</c:v>
                </c:pt>
                <c:pt idx="78">
                  <c:v>2.8564497026239075</c:v>
                </c:pt>
                <c:pt idx="79">
                  <c:v>2.8862277026239074</c:v>
                </c:pt>
                <c:pt idx="80">
                  <c:v>2.9163137026239077</c:v>
                </c:pt>
                <c:pt idx="81">
                  <c:v>2.946707702623907</c:v>
                </c:pt>
                <c:pt idx="82">
                  <c:v>2.9774097026239073</c:v>
                </c:pt>
                <c:pt idx="83">
                  <c:v>3.0084197026239075</c:v>
                </c:pt>
                <c:pt idx="84">
                  <c:v>3.0397377026239076</c:v>
                </c:pt>
                <c:pt idx="85">
                  <c:v>3.0713637026239073</c:v>
                </c:pt>
                <c:pt idx="86">
                  <c:v>3.103297702623907</c:v>
                </c:pt>
                <c:pt idx="87">
                  <c:v>3.1355397026239067</c:v>
                </c:pt>
                <c:pt idx="88">
                  <c:v>3.1680897026239072</c:v>
                </c:pt>
                <c:pt idx="89">
                  <c:v>3.2009477026239077</c:v>
                </c:pt>
                <c:pt idx="90">
                  <c:v>3.2341137026239073</c:v>
                </c:pt>
                <c:pt idx="91">
                  <c:v>3.2675877026239069</c:v>
                </c:pt>
                <c:pt idx="92">
                  <c:v>3.3013697026239068</c:v>
                </c:pt>
                <c:pt idx="93">
                  <c:v>3.3354597026239077</c:v>
                </c:pt>
                <c:pt idx="94">
                  <c:v>3.3698577026239067</c:v>
                </c:pt>
                <c:pt idx="95">
                  <c:v>3.4045637026239071</c:v>
                </c:pt>
                <c:pt idx="96">
                  <c:v>3.4395777026239074</c:v>
                </c:pt>
                <c:pt idx="97">
                  <c:v>3.4748997026239072</c:v>
                </c:pt>
                <c:pt idx="98">
                  <c:v>3.5105297026239071</c:v>
                </c:pt>
                <c:pt idx="99">
                  <c:v>3.5464677026239069</c:v>
                </c:pt>
                <c:pt idx="100">
                  <c:v>3.5827137026239071</c:v>
                </c:pt>
                <c:pt idx="101">
                  <c:v>3.6192677026239068</c:v>
                </c:pt>
                <c:pt idx="102">
                  <c:v>3.6561297026239075</c:v>
                </c:pt>
                <c:pt idx="103">
                  <c:v>3.6932997026239072</c:v>
                </c:pt>
                <c:pt idx="104">
                  <c:v>3.7307777026239068</c:v>
                </c:pt>
                <c:pt idx="105">
                  <c:v>3.7685637026239069</c:v>
                </c:pt>
                <c:pt idx="106">
                  <c:v>3.8066577026239066</c:v>
                </c:pt>
                <c:pt idx="107">
                  <c:v>3.8450597026239071</c:v>
                </c:pt>
                <c:pt idx="108">
                  <c:v>3.8837697026239066</c:v>
                </c:pt>
                <c:pt idx="109">
                  <c:v>3.9227877026239071</c:v>
                </c:pt>
                <c:pt idx="110">
                  <c:v>3.9621137026239066</c:v>
                </c:pt>
                <c:pt idx="111">
                  <c:v>4.0017477026239074</c:v>
                </c:pt>
                <c:pt idx="112">
                  <c:v>4.0416897026239074</c:v>
                </c:pt>
                <c:pt idx="113">
                  <c:v>4.0819397026239077</c:v>
                </c:pt>
                <c:pt idx="114">
                  <c:v>4.1224977026239058</c:v>
                </c:pt>
                <c:pt idx="115">
                  <c:v>4.163363702623907</c:v>
                </c:pt>
                <c:pt idx="116">
                  <c:v>4.2045377026239077</c:v>
                </c:pt>
                <c:pt idx="117">
                  <c:v>4.2460197026239079</c:v>
                </c:pt>
                <c:pt idx="118">
                  <c:v>4.2878097026239068</c:v>
                </c:pt>
                <c:pt idx="119">
                  <c:v>4.329907702623907</c:v>
                </c:pt>
                <c:pt idx="120">
                  <c:v>4.3723137026239076</c:v>
                </c:pt>
                <c:pt idx="121">
                  <c:v>4.415027702623906</c:v>
                </c:pt>
                <c:pt idx="122">
                  <c:v>4.4580497026239074</c:v>
                </c:pt>
                <c:pt idx="123">
                  <c:v>4.5013797026239066</c:v>
                </c:pt>
                <c:pt idx="124">
                  <c:v>4.5450177026239071</c:v>
                </c:pt>
                <c:pt idx="125">
                  <c:v>4.5889637026239063</c:v>
                </c:pt>
                <c:pt idx="126">
                  <c:v>4.6332177026239068</c:v>
                </c:pt>
                <c:pt idx="127">
                  <c:v>4.6777797026239076</c:v>
                </c:pt>
                <c:pt idx="128">
                  <c:v>4.7226497026239072</c:v>
                </c:pt>
                <c:pt idx="129">
                  <c:v>4.7678277026239071</c:v>
                </c:pt>
                <c:pt idx="130">
                  <c:v>4.8133137026239066</c:v>
                </c:pt>
                <c:pt idx="131">
                  <c:v>4.8591077026239073</c:v>
                </c:pt>
                <c:pt idx="132">
                  <c:v>4.9052097026239077</c:v>
                </c:pt>
                <c:pt idx="133">
                  <c:v>4.9516197026239075</c:v>
                </c:pt>
                <c:pt idx="134">
                  <c:v>4.9983377026239069</c:v>
                </c:pt>
                <c:pt idx="135">
                  <c:v>5.0453637026239067</c:v>
                </c:pt>
                <c:pt idx="136">
                  <c:v>5.0926977026239069</c:v>
                </c:pt>
                <c:pt idx="137">
                  <c:v>5.1403397026239084</c:v>
                </c:pt>
                <c:pt idx="138">
                  <c:v>5.1882897026239059</c:v>
                </c:pt>
                <c:pt idx="139">
                  <c:v>5.2365477026239082</c:v>
                </c:pt>
                <c:pt idx="140">
                  <c:v>5.2851137026239066</c:v>
                </c:pt>
                <c:pt idx="141">
                  <c:v>5.3339877026239062</c:v>
                </c:pt>
                <c:pt idx="142">
                  <c:v>5.383169702623908</c:v>
                </c:pt>
                <c:pt idx="143">
                  <c:v>5.4326597026239067</c:v>
                </c:pt>
                <c:pt idx="144">
                  <c:v>5.4824577026239076</c:v>
                </c:pt>
                <c:pt idx="145">
                  <c:v>5.5325637026239063</c:v>
                </c:pt>
                <c:pt idx="146">
                  <c:v>5.582977702623908</c:v>
                </c:pt>
                <c:pt idx="147">
                  <c:v>5.6336997026239075</c:v>
                </c:pt>
                <c:pt idx="148">
                  <c:v>5.6847297026239074</c:v>
                </c:pt>
                <c:pt idx="149">
                  <c:v>5.7360677026239077</c:v>
                </c:pt>
                <c:pt idx="150">
                  <c:v>5.7877137026239058</c:v>
                </c:pt>
              </c:numCache>
            </c:numRef>
          </c:yVal>
          <c:smooth val="1"/>
          <c:extLst>
            <c:ext xmlns:c16="http://schemas.microsoft.com/office/drawing/2014/chart" uri="{C3380CC4-5D6E-409C-BE32-E72D297353CC}">
              <c16:uniqueId val="{00000002-7DAF-432D-B540-E0424C156B7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Eff_vs_IOUT!$AP$7:$AP$157</c:f>
              <c:numCache>
                <c:formatCode>General</c:formatCode>
                <c:ptCount val="151"/>
                <c:pt idx="0">
                  <c:v>0</c:v>
                </c:pt>
                <c:pt idx="1">
                  <c:v>1.660195771588399E-4</c:v>
                </c:pt>
                <c:pt idx="2">
                  <c:v>4.6957427527495593E-4</c:v>
                </c:pt>
                <c:pt idx="3">
                  <c:v>8.6266302807063691E-4</c:v>
                </c:pt>
                <c:pt idx="4">
                  <c:v>1.328156617270719E-3</c:v>
                </c:pt>
                <c:pt idx="5">
                  <c:v>1.8561553006146883E-3</c:v>
                </c:pt>
                <c:pt idx="6">
                  <c:v>2.439979508110673E-3</c:v>
                </c:pt>
                <c:pt idx="7">
                  <c:v>3.0747255975127272E-3</c:v>
                </c:pt>
                <c:pt idx="8">
                  <c:v>3.7665306122448977E-3</c:v>
                </c:pt>
                <c:pt idx="9">
                  <c:v>4.547468112244899E-3</c:v>
                </c:pt>
                <c:pt idx="10">
                  <c:v>5.4202806122448976E-3</c:v>
                </c:pt>
                <c:pt idx="11">
                  <c:v>6.384968112244897E-3</c:v>
                </c:pt>
                <c:pt idx="12">
                  <c:v>7.441530612244898E-3</c:v>
                </c:pt>
                <c:pt idx="13">
                  <c:v>8.5899681122448973E-3</c:v>
                </c:pt>
                <c:pt idx="14">
                  <c:v>9.8302806122448991E-3</c:v>
                </c:pt>
                <c:pt idx="15">
                  <c:v>1.1162468112244899E-2</c:v>
                </c:pt>
                <c:pt idx="16">
                  <c:v>1.2586530612244903E-2</c:v>
                </c:pt>
                <c:pt idx="17">
                  <c:v>1.4102468112244901E-2</c:v>
                </c:pt>
                <c:pt idx="18">
                  <c:v>1.5710280612244908E-2</c:v>
                </c:pt>
                <c:pt idx="19">
                  <c:v>1.7409968112244906E-2</c:v>
                </c:pt>
                <c:pt idx="20">
                  <c:v>1.9201530612244899E-2</c:v>
                </c:pt>
                <c:pt idx="21">
                  <c:v>2.1084968112244903E-2</c:v>
                </c:pt>
                <c:pt idx="22">
                  <c:v>2.3060280612244903E-2</c:v>
                </c:pt>
                <c:pt idx="23">
                  <c:v>2.5127468112244904E-2</c:v>
                </c:pt>
                <c:pt idx="24">
                  <c:v>2.7286530612244897E-2</c:v>
                </c:pt>
                <c:pt idx="25">
                  <c:v>2.9537468112244898E-2</c:v>
                </c:pt>
                <c:pt idx="26">
                  <c:v>3.1880280612244891E-2</c:v>
                </c:pt>
                <c:pt idx="27">
                  <c:v>3.4314968112244909E-2</c:v>
                </c:pt>
                <c:pt idx="28">
                  <c:v>3.6841530612244898E-2</c:v>
                </c:pt>
                <c:pt idx="29">
                  <c:v>3.9459968112244906E-2</c:v>
                </c:pt>
                <c:pt idx="30">
                  <c:v>4.2170280612244898E-2</c:v>
                </c:pt>
                <c:pt idx="31">
                  <c:v>4.4972468112244909E-2</c:v>
                </c:pt>
                <c:pt idx="32">
                  <c:v>4.7866530612244912E-2</c:v>
                </c:pt>
                <c:pt idx="33">
                  <c:v>5.0852468112244913E-2</c:v>
                </c:pt>
                <c:pt idx="34">
                  <c:v>5.3930280612244905E-2</c:v>
                </c:pt>
                <c:pt idx="35">
                  <c:v>5.7099968112244902E-2</c:v>
                </c:pt>
                <c:pt idx="36">
                  <c:v>6.0361530612244911E-2</c:v>
                </c:pt>
                <c:pt idx="37">
                  <c:v>6.3714968112244905E-2</c:v>
                </c:pt>
                <c:pt idx="38">
                  <c:v>6.7160280612244924E-2</c:v>
                </c:pt>
                <c:pt idx="39">
                  <c:v>7.0697468112244907E-2</c:v>
                </c:pt>
                <c:pt idx="40">
                  <c:v>7.4326530612244909E-2</c:v>
                </c:pt>
                <c:pt idx="41">
                  <c:v>7.804746811224493E-2</c:v>
                </c:pt>
                <c:pt idx="42">
                  <c:v>8.1860280612244915E-2</c:v>
                </c:pt>
                <c:pt idx="43">
                  <c:v>8.5764968112244877E-2</c:v>
                </c:pt>
                <c:pt idx="44">
                  <c:v>8.9761530612244914E-2</c:v>
                </c:pt>
                <c:pt idx="45">
                  <c:v>9.38499681122449E-2</c:v>
                </c:pt>
                <c:pt idx="46">
                  <c:v>9.8030280612244933E-2</c:v>
                </c:pt>
                <c:pt idx="47">
                  <c:v>0.10230246811224492</c:v>
                </c:pt>
                <c:pt idx="48">
                  <c:v>0.10666653061224493</c:v>
                </c:pt>
                <c:pt idx="49">
                  <c:v>0.11112246811224492</c:v>
                </c:pt>
                <c:pt idx="50">
                  <c:v>0.11567028061224491</c:v>
                </c:pt>
                <c:pt idx="51">
                  <c:v>0.12030996811224492</c:v>
                </c:pt>
                <c:pt idx="52">
                  <c:v>0.12504153061224488</c:v>
                </c:pt>
                <c:pt idx="53">
                  <c:v>0.12986496811224488</c:v>
                </c:pt>
                <c:pt idx="54">
                  <c:v>0.13478028061224495</c:v>
                </c:pt>
                <c:pt idx="55">
                  <c:v>0.13978746811224491</c:v>
                </c:pt>
                <c:pt idx="56">
                  <c:v>0.14488653061224496</c:v>
                </c:pt>
                <c:pt idx="57">
                  <c:v>0.1500774681122449</c:v>
                </c:pt>
                <c:pt idx="58">
                  <c:v>0.15536028061224488</c:v>
                </c:pt>
                <c:pt idx="59">
                  <c:v>0.16073496811224494</c:v>
                </c:pt>
                <c:pt idx="60">
                  <c:v>0.16620153061224491</c:v>
                </c:pt>
                <c:pt idx="61">
                  <c:v>0.17175996811224498</c:v>
                </c:pt>
                <c:pt idx="62">
                  <c:v>0.17741028061224492</c:v>
                </c:pt>
                <c:pt idx="63">
                  <c:v>0.18315246811224495</c:v>
                </c:pt>
                <c:pt idx="64">
                  <c:v>0.18898653061224494</c:v>
                </c:pt>
                <c:pt idx="65">
                  <c:v>0.19491246811224489</c:v>
                </c:pt>
                <c:pt idx="66">
                  <c:v>0.20093028061224497</c:v>
                </c:pt>
                <c:pt idx="67">
                  <c:v>0.20703996811224493</c:v>
                </c:pt>
                <c:pt idx="68">
                  <c:v>0.21324153061224491</c:v>
                </c:pt>
                <c:pt idx="69">
                  <c:v>0.21953496811224496</c:v>
                </c:pt>
                <c:pt idx="70">
                  <c:v>0.22592028061224492</c:v>
                </c:pt>
                <c:pt idx="71">
                  <c:v>0.23239746811224501</c:v>
                </c:pt>
                <c:pt idx="72">
                  <c:v>0.23896653061224499</c:v>
                </c:pt>
                <c:pt idx="73">
                  <c:v>0.2456274681122449</c:v>
                </c:pt>
                <c:pt idx="74">
                  <c:v>0.25238028061224488</c:v>
                </c:pt>
                <c:pt idx="75">
                  <c:v>0.25922496811224494</c:v>
                </c:pt>
                <c:pt idx="76">
                  <c:v>0.26616153061224501</c:v>
                </c:pt>
                <c:pt idx="77">
                  <c:v>0.27318996811224489</c:v>
                </c:pt>
                <c:pt idx="78">
                  <c:v>0.28031028061224494</c:v>
                </c:pt>
                <c:pt idx="79">
                  <c:v>0.28752246811224497</c:v>
                </c:pt>
                <c:pt idx="80">
                  <c:v>0.2948265306122449</c:v>
                </c:pt>
                <c:pt idx="81">
                  <c:v>0.3022224681122449</c:v>
                </c:pt>
                <c:pt idx="82">
                  <c:v>0.30971028061224493</c:v>
                </c:pt>
                <c:pt idx="83">
                  <c:v>0.31728996811224491</c:v>
                </c:pt>
                <c:pt idx="84">
                  <c:v>0.32496153061224492</c:v>
                </c:pt>
                <c:pt idx="85">
                  <c:v>0.33272496811224489</c:v>
                </c:pt>
                <c:pt idx="86">
                  <c:v>0.34058028061224482</c:v>
                </c:pt>
                <c:pt idx="87">
                  <c:v>0.34852746811224494</c:v>
                </c:pt>
                <c:pt idx="88">
                  <c:v>0.35656653061224491</c:v>
                </c:pt>
                <c:pt idx="89">
                  <c:v>0.36469746811224496</c:v>
                </c:pt>
                <c:pt idx="90">
                  <c:v>0.37292028061224491</c:v>
                </c:pt>
                <c:pt idx="91">
                  <c:v>0.38123496811224483</c:v>
                </c:pt>
                <c:pt idx="92">
                  <c:v>0.38964153061224494</c:v>
                </c:pt>
                <c:pt idx="93">
                  <c:v>0.39813996811224489</c:v>
                </c:pt>
                <c:pt idx="94">
                  <c:v>0.40673028061224475</c:v>
                </c:pt>
                <c:pt idx="95">
                  <c:v>0.41541246811224491</c:v>
                </c:pt>
                <c:pt idx="96">
                  <c:v>0.42418653061224482</c:v>
                </c:pt>
                <c:pt idx="97">
                  <c:v>0.43305246811224507</c:v>
                </c:pt>
                <c:pt idx="98">
                  <c:v>0.44201028061224495</c:v>
                </c:pt>
                <c:pt idx="99">
                  <c:v>0.45105996811224497</c:v>
                </c:pt>
                <c:pt idx="100">
                  <c:v>0.46020153061224478</c:v>
                </c:pt>
                <c:pt idx="101">
                  <c:v>0.46943496811224489</c:v>
                </c:pt>
                <c:pt idx="102">
                  <c:v>0.47876028061224496</c:v>
                </c:pt>
                <c:pt idx="103">
                  <c:v>0.48817746811224505</c:v>
                </c:pt>
                <c:pt idx="104">
                  <c:v>0.49768653061224472</c:v>
                </c:pt>
                <c:pt idx="105">
                  <c:v>0.5072874681122449</c:v>
                </c:pt>
                <c:pt idx="106">
                  <c:v>0.51698028061224488</c:v>
                </c:pt>
                <c:pt idx="107">
                  <c:v>0.52676496811224505</c:v>
                </c:pt>
                <c:pt idx="108">
                  <c:v>0.53664153061224507</c:v>
                </c:pt>
                <c:pt idx="109">
                  <c:v>0.54660996811224494</c:v>
                </c:pt>
                <c:pt idx="110">
                  <c:v>0.55667028061224488</c:v>
                </c:pt>
                <c:pt idx="111">
                  <c:v>0.56682246811224501</c:v>
                </c:pt>
                <c:pt idx="112">
                  <c:v>0.577066530612245</c:v>
                </c:pt>
                <c:pt idx="113">
                  <c:v>0.58740246811224506</c:v>
                </c:pt>
                <c:pt idx="114">
                  <c:v>0.59783028061224497</c:v>
                </c:pt>
                <c:pt idx="115">
                  <c:v>0.60834996811224484</c:v>
                </c:pt>
                <c:pt idx="116">
                  <c:v>0.6189615306122449</c:v>
                </c:pt>
                <c:pt idx="117">
                  <c:v>0.62966496811224504</c:v>
                </c:pt>
                <c:pt idx="118">
                  <c:v>0.64046028061224503</c:v>
                </c:pt>
                <c:pt idx="119">
                  <c:v>0.65134746811224487</c:v>
                </c:pt>
                <c:pt idx="120">
                  <c:v>0.662326530612245</c:v>
                </c:pt>
                <c:pt idx="121">
                  <c:v>0.67339746811224499</c:v>
                </c:pt>
                <c:pt idx="122">
                  <c:v>0.68456028061224528</c:v>
                </c:pt>
                <c:pt idx="123">
                  <c:v>0.69581496811224508</c:v>
                </c:pt>
                <c:pt idx="124">
                  <c:v>0.70716153061224518</c:v>
                </c:pt>
                <c:pt idx="125">
                  <c:v>0.71859996811224491</c:v>
                </c:pt>
                <c:pt idx="126">
                  <c:v>0.73013028061224494</c:v>
                </c:pt>
                <c:pt idx="127">
                  <c:v>0.74175246811224538</c:v>
                </c:pt>
                <c:pt idx="128">
                  <c:v>0.75346653061224511</c:v>
                </c:pt>
                <c:pt idx="129">
                  <c:v>0.76527246811224503</c:v>
                </c:pt>
                <c:pt idx="130">
                  <c:v>0.77717028061224491</c:v>
                </c:pt>
                <c:pt idx="131">
                  <c:v>0.78915996811224487</c:v>
                </c:pt>
                <c:pt idx="132">
                  <c:v>0.80124153061224523</c:v>
                </c:pt>
                <c:pt idx="133">
                  <c:v>0.81341496811224512</c:v>
                </c:pt>
                <c:pt idx="134">
                  <c:v>0.82568028061224508</c:v>
                </c:pt>
                <c:pt idx="135">
                  <c:v>0.83803746811224489</c:v>
                </c:pt>
                <c:pt idx="136">
                  <c:v>0.85048653061224511</c:v>
                </c:pt>
                <c:pt idx="137">
                  <c:v>0.8630274681122454</c:v>
                </c:pt>
                <c:pt idx="138">
                  <c:v>0.87566028061224499</c:v>
                </c:pt>
                <c:pt idx="139">
                  <c:v>0.88838496811224499</c:v>
                </c:pt>
                <c:pt idx="140">
                  <c:v>0.90120153061224506</c:v>
                </c:pt>
                <c:pt idx="141">
                  <c:v>0.91410996811224499</c:v>
                </c:pt>
                <c:pt idx="142">
                  <c:v>0.92711028061224532</c:v>
                </c:pt>
                <c:pt idx="143">
                  <c:v>0.94020246811224506</c:v>
                </c:pt>
                <c:pt idx="144">
                  <c:v>0.95338653061224499</c:v>
                </c:pt>
                <c:pt idx="145">
                  <c:v>0.9666624681122451</c:v>
                </c:pt>
                <c:pt idx="146">
                  <c:v>0.98003028061224495</c:v>
                </c:pt>
                <c:pt idx="147">
                  <c:v>0.99348996811224544</c:v>
                </c:pt>
                <c:pt idx="148">
                  <c:v>1.0070415306122449</c:v>
                </c:pt>
                <c:pt idx="149">
                  <c:v>1.020684968112245</c:v>
                </c:pt>
                <c:pt idx="150">
                  <c:v>1.0344202806122451</c:v>
                </c:pt>
              </c:numCache>
            </c:numRef>
          </c:yVal>
          <c:smooth val="1"/>
          <c:extLst>
            <c:ext xmlns:c16="http://schemas.microsoft.com/office/drawing/2014/chart" uri="{C3380CC4-5D6E-409C-BE32-E72D297353CC}">
              <c16:uniqueId val="{00000003-7DAF-432D-B540-E0424C156B7E}"/>
            </c:ext>
          </c:extLst>
        </c:ser>
        <c:dLbls>
          <c:showLegendKey val="0"/>
          <c:showVal val="0"/>
          <c:showCatName val="0"/>
          <c:showSerName val="0"/>
          <c:showPercent val="0"/>
          <c:showBubbleSize val="0"/>
        </c:dLbls>
        <c:axId val="522502144"/>
        <c:axId val="522491776"/>
      </c:scatterChart>
      <c:valAx>
        <c:axId val="522488064"/>
        <c:scaling>
          <c:orientation val="minMax"/>
        </c:scaling>
        <c:delete val="0"/>
        <c:axPos val="b"/>
        <c:majorGridlines/>
        <c:numFmt formatCode="General" sourceLinked="1"/>
        <c:majorTickMark val="out"/>
        <c:minorTickMark val="none"/>
        <c:tickLblPos val="nextTo"/>
        <c:crossAx val="522489856"/>
        <c:crosses val="autoZero"/>
        <c:crossBetween val="midCat"/>
      </c:valAx>
      <c:valAx>
        <c:axId val="52248985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22488064"/>
        <c:crosses val="autoZero"/>
        <c:crossBetween val="midCat"/>
      </c:valAx>
      <c:valAx>
        <c:axId val="52249177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22502144"/>
        <c:crosses val="max"/>
        <c:crossBetween val="midCat"/>
      </c:valAx>
      <c:valAx>
        <c:axId val="52250214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2249177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Eff_vs_IOUT!$AW$7:$AW$157</c:f>
              <c:numCache>
                <c:formatCode>General</c:formatCode>
                <c:ptCount val="151"/>
                <c:pt idx="0">
                  <c:v>0</c:v>
                </c:pt>
                <c:pt idx="1">
                  <c:v>53.459301846620477</c:v>
                </c:pt>
                <c:pt idx="2">
                  <c:v>67.515703507297758</c:v>
                </c:pt>
                <c:pt idx="3">
                  <c:v>73.942423923512408</c:v>
                </c:pt>
                <c:pt idx="4">
                  <c:v>77.599217418940668</c:v>
                </c:pt>
                <c:pt idx="5">
                  <c:v>79.945292447295415</c:v>
                </c:pt>
                <c:pt idx="6">
                  <c:v>81.569722957003378</c:v>
                </c:pt>
                <c:pt idx="7">
                  <c:v>82.75547106836116</c:v>
                </c:pt>
                <c:pt idx="8">
                  <c:v>84.035984136670734</c:v>
                </c:pt>
                <c:pt idx="9">
                  <c:v>85.240695671386604</c:v>
                </c:pt>
                <c:pt idx="10">
                  <c:v>86.226790478464892</c:v>
                </c:pt>
                <c:pt idx="11">
                  <c:v>87.048103273959924</c:v>
                </c:pt>
                <c:pt idx="12">
                  <c:v>87.742134216002043</c:v>
                </c:pt>
                <c:pt idx="13">
                  <c:v>88.335807393701259</c:v>
                </c:pt>
                <c:pt idx="14">
                  <c:v>88.848953686893338</c:v>
                </c:pt>
                <c:pt idx="15">
                  <c:v>89.296502324721558</c:v>
                </c:pt>
                <c:pt idx="16">
                  <c:v>89.689907191777863</c:v>
                </c:pt>
                <c:pt idx="17">
                  <c:v>90.038102484445943</c:v>
                </c:pt>
                <c:pt idx="18">
                  <c:v>90.34815946036241</c:v>
                </c:pt>
                <c:pt idx="19">
                  <c:v>90.625747949708853</c:v>
                </c:pt>
                <c:pt idx="20">
                  <c:v>90.875467145428502</c:v>
                </c:pt>
                <c:pt idx="21">
                  <c:v>91.101086922266674</c:v>
                </c:pt>
                <c:pt idx="22">
                  <c:v>91.305726700015668</c:v>
                </c:pt>
                <c:pt idx="23">
                  <c:v>91.491989929371528</c:v>
                </c:pt>
                <c:pt idx="24">
                  <c:v>91.662066535764254</c:v>
                </c:pt>
                <c:pt idx="25">
                  <c:v>91.817811887558648</c:v>
                </c:pt>
                <c:pt idx="26">
                  <c:v>91.960808333920866</c:v>
                </c:pt>
                <c:pt idx="27">
                  <c:v>92.092413641635517</c:v>
                </c:pt>
                <c:pt idx="28">
                  <c:v>92.213799473362684</c:v>
                </c:pt>
                <c:pt idx="29">
                  <c:v>92.325982216908599</c:v>
                </c:pt>
                <c:pt idx="30">
                  <c:v>92.429847882563124</c:v>
                </c:pt>
                <c:pt idx="31">
                  <c:v>92.526172358734414</c:v>
                </c:pt>
                <c:pt idx="32">
                  <c:v>92.615638005054393</c:v>
                </c:pt>
                <c:pt idx="33">
                  <c:v>92.698847332967233</c:v>
                </c:pt>
                <c:pt idx="34">
                  <c:v>92.776334353274237</c:v>
                </c:pt>
                <c:pt idx="35">
                  <c:v>92.84857404198786</c:v>
                </c:pt>
                <c:pt idx="36">
                  <c:v>92.915990278738036</c:v>
                </c:pt>
                <c:pt idx="37">
                  <c:v>92.978962537753986</c:v>
                </c:pt>
                <c:pt idx="38">
                  <c:v>93.037831554272586</c:v>
                </c:pt>
                <c:pt idx="39">
                  <c:v>93.092904144856846</c:v>
                </c:pt>
                <c:pt idx="40">
                  <c:v>93.144457325436761</c:v>
                </c:pt>
                <c:pt idx="41">
                  <c:v>93.19274184361133</c:v>
                </c:pt>
                <c:pt idx="42">
                  <c:v>93.237985220160013</c:v>
                </c:pt>
                <c:pt idx="43">
                  <c:v>93.280394377520835</c:v>
                </c:pt>
                <c:pt idx="44">
                  <c:v>93.3201579192243</c:v>
                </c:pt>
                <c:pt idx="45">
                  <c:v>93.357448113188141</c:v>
                </c:pt>
                <c:pt idx="46">
                  <c:v>93.392422622807644</c:v>
                </c:pt>
                <c:pt idx="47">
                  <c:v>93.425226022481638</c:v>
                </c:pt>
                <c:pt idx="48">
                  <c:v>93.455991128254396</c:v>
                </c:pt>
                <c:pt idx="49">
                  <c:v>93.484840169362855</c:v>
                </c:pt>
                <c:pt idx="50">
                  <c:v>93.511885822447766</c:v>
                </c:pt>
                <c:pt idx="51">
                  <c:v>93.53723212685118</c:v>
                </c:pt>
                <c:pt idx="52">
                  <c:v>93.560975296651918</c:v>
                </c:pt>
                <c:pt idx="53">
                  <c:v>93.583204442779859</c:v>
                </c:pt>
                <c:pt idx="54">
                  <c:v>93.604002216615157</c:v>
                </c:pt>
                <c:pt idx="55">
                  <c:v>93.623445384855131</c:v>
                </c:pt>
                <c:pt idx="56">
                  <c:v>93.641605344062654</c:v>
                </c:pt>
                <c:pt idx="57">
                  <c:v>93.658548582152591</c:v>
                </c:pt>
                <c:pt idx="58">
                  <c:v>93.674337093092802</c:v>
                </c:pt>
                <c:pt idx="59">
                  <c:v>93.689028750260917</c:v>
                </c:pt>
                <c:pt idx="60">
                  <c:v>93.702677643187627</c:v>
                </c:pt>
                <c:pt idx="61">
                  <c:v>93.715334381807537</c:v>
                </c:pt>
                <c:pt idx="62">
                  <c:v>93.727046371817863</c:v>
                </c:pt>
                <c:pt idx="63">
                  <c:v>93.737858064295949</c:v>
                </c:pt>
                <c:pt idx="64">
                  <c:v>93.747811182339532</c:v>
                </c:pt>
                <c:pt idx="65">
                  <c:v>93.756944927160703</c:v>
                </c:pt>
                <c:pt idx="66">
                  <c:v>93.765296165773705</c:v>
                </c:pt>
                <c:pt idx="67">
                  <c:v>93.77289960216666</c:v>
                </c:pt>
                <c:pt idx="68">
                  <c:v>93.779787933628057</c:v>
                </c:pt>
                <c:pt idx="69">
                  <c:v>93.785991993708919</c:v>
                </c:pt>
                <c:pt idx="70">
                  <c:v>93.791540883134473</c:v>
                </c:pt>
                <c:pt idx="71">
                  <c:v>93.796462089834478</c:v>
                </c:pt>
                <c:pt idx="72">
                  <c:v>93.800781599132449</c:v>
                </c:pt>
                <c:pt idx="73">
                  <c:v>93.804523995022876</c:v>
                </c:pt>
                <c:pt idx="74">
                  <c:v>93.807712553365889</c:v>
                </c:pt>
                <c:pt idx="75">
                  <c:v>93.810369327742038</c:v>
                </c:pt>
                <c:pt idx="76">
                  <c:v>93.812515228633202</c:v>
                </c:pt>
                <c:pt idx="77">
                  <c:v>93.814170096526595</c:v>
                </c:pt>
                <c:pt idx="78">
                  <c:v>93.815352769479716</c:v>
                </c:pt>
                <c:pt idx="79">
                  <c:v>93.816081145629255</c:v>
                </c:pt>
                <c:pt idx="80">
                  <c:v>93.816372241080302</c:v>
                </c:pt>
                <c:pt idx="81">
                  <c:v>93.816242243569107</c:v>
                </c:pt>
                <c:pt idx="82">
                  <c:v>93.815706562255116</c:v>
                </c:pt>
                <c:pt idx="83">
                  <c:v>93.814779873964369</c:v>
                </c:pt>
                <c:pt idx="84">
                  <c:v>93.813476166175334</c:v>
                </c:pt>
                <c:pt idx="85">
                  <c:v>93.811808777012402</c:v>
                </c:pt>
                <c:pt idx="86">
                  <c:v>93.809790432486835</c:v>
                </c:pt>
                <c:pt idx="87">
                  <c:v>93.807433281203913</c:v>
                </c:pt>
                <c:pt idx="88">
                  <c:v>93.804748926734959</c:v>
                </c:pt>
                <c:pt idx="89">
                  <c:v>93.801748457835785</c:v>
                </c:pt>
                <c:pt idx="90">
                  <c:v>93.79844247667657</c:v>
                </c:pt>
                <c:pt idx="91">
                  <c:v>93.794841125234257</c:v>
                </c:pt>
                <c:pt idx="92">
                  <c:v>93.79095410998589</c:v>
                </c:pt>
                <c:pt idx="93">
                  <c:v>93.786790725028368</c:v>
                </c:pt>
                <c:pt idx="94">
                  <c:v>93.7823598737412</c:v>
                </c:pt>
                <c:pt idx="95">
                  <c:v>93.777670089097739</c:v>
                </c:pt>
                <c:pt idx="96">
                  <c:v>93.772729552722467</c:v>
                </c:pt>
                <c:pt idx="97">
                  <c:v>93.767546112783577</c:v>
                </c:pt>
                <c:pt idx="98">
                  <c:v>93.762127300803357</c:v>
                </c:pt>
                <c:pt idx="99">
                  <c:v>93.756480347461618</c:v>
                </c:pt>
                <c:pt idx="100">
                  <c:v>93.750612197462075</c:v>
                </c:pt>
                <c:pt idx="101">
                  <c:v>93.74452952352577</c:v>
                </c:pt>
                <c:pt idx="102">
                  <c:v>93.738238739570861</c:v>
                </c:pt>
                <c:pt idx="103">
                  <c:v>93.731746013133289</c:v>
                </c:pt>
                <c:pt idx="104">
                  <c:v>93.725057277078946</c:v>
                </c:pt>
                <c:pt idx="105">
                  <c:v>93.718178240654112</c:v>
                </c:pt>
                <c:pt idx="106">
                  <c:v>93.711114399917165</c:v>
                </c:pt>
                <c:pt idx="107">
                  <c:v>93.703871047591832</c:v>
                </c:pt>
                <c:pt idx="108">
                  <c:v>93.696453282378968</c:v>
                </c:pt>
                <c:pt idx="109">
                  <c:v>93.688866017761185</c:v>
                </c:pt>
                <c:pt idx="110">
                  <c:v>93.68111399033242</c:v>
                </c:pt>
                <c:pt idx="111">
                  <c:v>93.673201767681974</c:v>
                </c:pt>
                <c:pt idx="112">
                  <c:v>93.66513375586058</c:v>
                </c:pt>
                <c:pt idx="113">
                  <c:v>93.656914206454204</c:v>
                </c:pt>
                <c:pt idx="114">
                  <c:v>93.648547223289285</c:v>
                </c:pt>
                <c:pt idx="115">
                  <c:v>93.640036768791873</c:v>
                </c:pt>
                <c:pt idx="116">
                  <c:v>93.631386670020831</c:v>
                </c:pt>
                <c:pt idx="117">
                  <c:v>93.622600624395176</c:v>
                </c:pt>
                <c:pt idx="118">
                  <c:v>93.613682205132704</c:v>
                </c:pt>
                <c:pt idx="119">
                  <c:v>93.604634866417342</c:v>
                </c:pt>
                <c:pt idx="120">
                  <c:v>93.595461948310515</c:v>
                </c:pt>
                <c:pt idx="121">
                  <c:v>93.586166681421446</c:v>
                </c:pt>
                <c:pt idx="122">
                  <c:v>93.576752191349883</c:v>
                </c:pt>
                <c:pt idx="123">
                  <c:v>93.567221502914151</c:v>
                </c:pt>
                <c:pt idx="124">
                  <c:v>93.557577544176738</c:v>
                </c:pt>
                <c:pt idx="125">
                  <c:v>93.547823150278248</c:v>
                </c:pt>
                <c:pt idx="126">
                  <c:v>93.537961067090549</c:v>
                </c:pt>
                <c:pt idx="127">
                  <c:v>93.527993954698971</c:v>
                </c:pt>
                <c:pt idx="128">
                  <c:v>93.517924390722811</c:v>
                </c:pt>
                <c:pt idx="129">
                  <c:v>93.507754873482654</c:v>
                </c:pt>
                <c:pt idx="130">
                  <c:v>93.497487825022873</c:v>
                </c:pt>
                <c:pt idx="131">
                  <c:v>93.487125593997092</c:v>
                </c:pt>
                <c:pt idx="132">
                  <c:v>93.476670458423428</c:v>
                </c:pt>
                <c:pt idx="133">
                  <c:v>93.466124628316649</c:v>
                </c:pt>
                <c:pt idx="134">
                  <c:v>93.45549024820356</c:v>
                </c:pt>
                <c:pt idx="135">
                  <c:v>93.444769399527402</c:v>
                </c:pt>
                <c:pt idx="136">
                  <c:v>93.433964102947243</c:v>
                </c:pt>
                <c:pt idx="137">
                  <c:v>93.423076320537461</c:v>
                </c:pt>
                <c:pt idx="138">
                  <c:v>93.412107957892431</c:v>
                </c:pt>
                <c:pt idx="139">
                  <c:v>93.401060866141023</c:v>
                </c:pt>
                <c:pt idx="140">
                  <c:v>93.389936843875773</c:v>
                </c:pt>
                <c:pt idx="141">
                  <c:v>93.378737639000221</c:v>
                </c:pt>
                <c:pt idx="142">
                  <c:v>93.36746495049924</c:v>
                </c:pt>
                <c:pt idx="143">
                  <c:v>93.356120430135476</c:v>
                </c:pt>
                <c:pt idx="144">
                  <c:v>93.344705684075663</c:v>
                </c:pt>
                <c:pt idx="145">
                  <c:v>93.33322227445035</c:v>
                </c:pt>
                <c:pt idx="146">
                  <c:v>93.321671720849878</c:v>
                </c:pt>
                <c:pt idx="147">
                  <c:v>93.310055501759877</c:v>
                </c:pt>
                <c:pt idx="148">
                  <c:v>93.29837505593899</c:v>
                </c:pt>
                <c:pt idx="149">
                  <c:v>93.286631783741555</c:v>
                </c:pt>
                <c:pt idx="150">
                  <c:v>93.274827048387849</c:v>
                </c:pt>
              </c:numCache>
            </c:numRef>
          </c:yVal>
          <c:smooth val="0"/>
          <c:extLst>
            <c:ext xmlns:c16="http://schemas.microsoft.com/office/drawing/2014/chart" uri="{C3380CC4-5D6E-409C-BE32-E72D297353CC}">
              <c16:uniqueId val="{00000000-F850-4D08-8BFC-748D436DD73B}"/>
            </c:ext>
          </c:extLst>
        </c:ser>
        <c:dLbls>
          <c:showLegendKey val="0"/>
          <c:showVal val="0"/>
          <c:showCatName val="0"/>
          <c:showSerName val="0"/>
          <c:showPercent val="0"/>
          <c:showBubbleSize val="0"/>
        </c:dLbls>
        <c:axId val="224130176"/>
        <c:axId val="224131712"/>
      </c:scatterChart>
      <c:scatterChart>
        <c:scatterStyle val="smoothMarker"/>
        <c:varyColors val="0"/>
        <c:ser>
          <c:idx val="1"/>
          <c:order val="1"/>
          <c:tx>
            <c:v>MOSFET</c:v>
          </c:tx>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Eff_vs_IOUT!$AI$7:$AI$157</c:f>
              <c:numCache>
                <c:formatCode>General</c:formatCode>
                <c:ptCount val="151"/>
                <c:pt idx="0">
                  <c:v>0</c:v>
                </c:pt>
                <c:pt idx="1">
                  <c:v>6.9089962484580061E-2</c:v>
                </c:pt>
                <c:pt idx="2">
                  <c:v>0.13852572755899556</c:v>
                </c:pt>
                <c:pt idx="3">
                  <c:v>0.20818660682803392</c:v>
                </c:pt>
                <c:pt idx="4">
                  <c:v>0.27802953254288915</c:v>
                </c:pt>
                <c:pt idx="5">
                  <c:v>0.34802961392302034</c:v>
                </c:pt>
                <c:pt idx="6">
                  <c:v>0.41817005662101947</c:v>
                </c:pt>
                <c:pt idx="7">
                  <c:v>0.48843853147923966</c:v>
                </c:pt>
                <c:pt idx="8">
                  <c:v>0.55885046877828981</c:v>
                </c:pt>
                <c:pt idx="9">
                  <c:v>0.62948651061172767</c:v>
                </c:pt>
                <c:pt idx="10">
                  <c:v>0.70035355244516539</c:v>
                </c:pt>
                <c:pt idx="11">
                  <c:v>0.77145159427860344</c:v>
                </c:pt>
                <c:pt idx="12">
                  <c:v>0.84278063611204102</c:v>
                </c:pt>
                <c:pt idx="13">
                  <c:v>0.91434067794547891</c:v>
                </c:pt>
                <c:pt idx="14">
                  <c:v>0.98613171977891678</c:v>
                </c:pt>
                <c:pt idx="15">
                  <c:v>1.0581537616123546</c:v>
                </c:pt>
                <c:pt idx="16">
                  <c:v>1.1304068034457926</c:v>
                </c:pt>
                <c:pt idx="17">
                  <c:v>1.2028908452792304</c:v>
                </c:pt>
                <c:pt idx="18">
                  <c:v>1.2756058871126683</c:v>
                </c:pt>
                <c:pt idx="19">
                  <c:v>1.3485519289461063</c:v>
                </c:pt>
                <c:pt idx="20">
                  <c:v>1.4217289707795437</c:v>
                </c:pt>
                <c:pt idx="21">
                  <c:v>1.4951370126129817</c:v>
                </c:pt>
                <c:pt idx="22">
                  <c:v>1.5687760544464198</c:v>
                </c:pt>
                <c:pt idx="23">
                  <c:v>1.6426460962798572</c:v>
                </c:pt>
                <c:pt idx="24">
                  <c:v>1.7167471381132948</c:v>
                </c:pt>
                <c:pt idx="25">
                  <c:v>1.7910791799467329</c:v>
                </c:pt>
                <c:pt idx="26">
                  <c:v>1.8656422217801707</c:v>
                </c:pt>
                <c:pt idx="27">
                  <c:v>1.9404362636136088</c:v>
                </c:pt>
                <c:pt idx="28">
                  <c:v>2.0154613054470465</c:v>
                </c:pt>
                <c:pt idx="29">
                  <c:v>2.0907173472804841</c:v>
                </c:pt>
                <c:pt idx="30">
                  <c:v>2.166204389113922</c:v>
                </c:pt>
                <c:pt idx="31">
                  <c:v>2.2419224309473602</c:v>
                </c:pt>
                <c:pt idx="32">
                  <c:v>2.3178714727807979</c:v>
                </c:pt>
                <c:pt idx="33">
                  <c:v>2.3940515146142358</c:v>
                </c:pt>
                <c:pt idx="34">
                  <c:v>2.4704625564476737</c:v>
                </c:pt>
                <c:pt idx="35">
                  <c:v>2.5471045982811109</c:v>
                </c:pt>
                <c:pt idx="36">
                  <c:v>2.6239776401145494</c:v>
                </c:pt>
                <c:pt idx="37">
                  <c:v>2.7010816819479873</c:v>
                </c:pt>
                <c:pt idx="38">
                  <c:v>2.7784167237814255</c:v>
                </c:pt>
                <c:pt idx="39">
                  <c:v>2.8559827656148626</c:v>
                </c:pt>
                <c:pt idx="40">
                  <c:v>2.9337798074483001</c:v>
                </c:pt>
                <c:pt idx="41">
                  <c:v>3.0118078492817384</c:v>
                </c:pt>
                <c:pt idx="42">
                  <c:v>3.0900668911151761</c:v>
                </c:pt>
                <c:pt idx="43">
                  <c:v>3.1685569329486132</c:v>
                </c:pt>
                <c:pt idx="44">
                  <c:v>3.2472779747820519</c:v>
                </c:pt>
                <c:pt idx="45">
                  <c:v>3.3262300166154892</c:v>
                </c:pt>
                <c:pt idx="46">
                  <c:v>3.4054130584489273</c:v>
                </c:pt>
                <c:pt idx="47">
                  <c:v>3.4848271002823652</c:v>
                </c:pt>
                <c:pt idx="48">
                  <c:v>3.5644721421158025</c:v>
                </c:pt>
                <c:pt idx="49">
                  <c:v>3.6443481839492411</c:v>
                </c:pt>
                <c:pt idx="50">
                  <c:v>3.7244552257826786</c:v>
                </c:pt>
                <c:pt idx="51">
                  <c:v>3.804793267616116</c:v>
                </c:pt>
                <c:pt idx="52">
                  <c:v>3.8853623094495542</c:v>
                </c:pt>
                <c:pt idx="53">
                  <c:v>3.9661623512829922</c:v>
                </c:pt>
                <c:pt idx="54">
                  <c:v>4.0471933931164301</c:v>
                </c:pt>
                <c:pt idx="55">
                  <c:v>4.1284554349498679</c:v>
                </c:pt>
                <c:pt idx="56">
                  <c:v>4.209948476783306</c:v>
                </c:pt>
                <c:pt idx="57">
                  <c:v>4.2916725186167435</c:v>
                </c:pt>
                <c:pt idx="58">
                  <c:v>4.3736275604501813</c:v>
                </c:pt>
                <c:pt idx="59">
                  <c:v>4.4558136022836203</c:v>
                </c:pt>
                <c:pt idx="60">
                  <c:v>4.538230644117057</c:v>
                </c:pt>
                <c:pt idx="61">
                  <c:v>4.6208786859504949</c:v>
                </c:pt>
                <c:pt idx="62">
                  <c:v>4.7037577277839331</c:v>
                </c:pt>
                <c:pt idx="63">
                  <c:v>4.7868677696173698</c:v>
                </c:pt>
                <c:pt idx="64">
                  <c:v>4.8702088114508086</c:v>
                </c:pt>
                <c:pt idx="65">
                  <c:v>4.953780853284246</c:v>
                </c:pt>
                <c:pt idx="66">
                  <c:v>5.0375838951176846</c:v>
                </c:pt>
                <c:pt idx="67">
                  <c:v>5.1216179369511217</c:v>
                </c:pt>
                <c:pt idx="68">
                  <c:v>5.20588297878456</c:v>
                </c:pt>
                <c:pt idx="69">
                  <c:v>5.2903790206179977</c:v>
                </c:pt>
                <c:pt idx="70">
                  <c:v>5.3751060624514349</c:v>
                </c:pt>
                <c:pt idx="71">
                  <c:v>5.4600641042848741</c:v>
                </c:pt>
                <c:pt idx="72">
                  <c:v>5.5452531461183119</c:v>
                </c:pt>
                <c:pt idx="73">
                  <c:v>5.6306731879517491</c:v>
                </c:pt>
                <c:pt idx="74">
                  <c:v>5.7163242297851875</c:v>
                </c:pt>
                <c:pt idx="75">
                  <c:v>5.8022062716186245</c:v>
                </c:pt>
                <c:pt idx="76">
                  <c:v>5.8883193134520635</c:v>
                </c:pt>
                <c:pt idx="77">
                  <c:v>5.9746633552855002</c:v>
                </c:pt>
                <c:pt idx="78">
                  <c:v>6.061238397118939</c:v>
                </c:pt>
                <c:pt idx="79">
                  <c:v>6.1480444389523772</c:v>
                </c:pt>
                <c:pt idx="80">
                  <c:v>6.2350814807858139</c:v>
                </c:pt>
                <c:pt idx="81">
                  <c:v>6.3223495226192501</c:v>
                </c:pt>
                <c:pt idx="82">
                  <c:v>6.4098485644526892</c:v>
                </c:pt>
                <c:pt idx="83">
                  <c:v>6.4975786062861287</c:v>
                </c:pt>
                <c:pt idx="84">
                  <c:v>6.5855396481195658</c:v>
                </c:pt>
                <c:pt idx="85">
                  <c:v>6.6737316899530024</c:v>
                </c:pt>
                <c:pt idx="86">
                  <c:v>6.7621547317864392</c:v>
                </c:pt>
                <c:pt idx="87">
                  <c:v>6.8508087736198782</c:v>
                </c:pt>
                <c:pt idx="88">
                  <c:v>6.9396938154533174</c:v>
                </c:pt>
                <c:pt idx="89">
                  <c:v>7.0288098572867561</c:v>
                </c:pt>
                <c:pt idx="90">
                  <c:v>7.1181568991201907</c:v>
                </c:pt>
                <c:pt idx="91">
                  <c:v>7.2077349409536282</c:v>
                </c:pt>
                <c:pt idx="92">
                  <c:v>7.297543982787067</c:v>
                </c:pt>
                <c:pt idx="93">
                  <c:v>7.3875840246205069</c:v>
                </c:pt>
                <c:pt idx="94">
                  <c:v>7.4778550664539427</c:v>
                </c:pt>
                <c:pt idx="95">
                  <c:v>7.5683571082873815</c:v>
                </c:pt>
                <c:pt idx="96">
                  <c:v>7.659090150120818</c:v>
                </c:pt>
                <c:pt idx="97">
                  <c:v>7.7500541919542565</c:v>
                </c:pt>
                <c:pt idx="98">
                  <c:v>7.8412492337876953</c:v>
                </c:pt>
                <c:pt idx="99">
                  <c:v>7.9326752756211318</c:v>
                </c:pt>
                <c:pt idx="100">
                  <c:v>8.0243323174545704</c:v>
                </c:pt>
                <c:pt idx="101">
                  <c:v>8.1162203592880076</c:v>
                </c:pt>
                <c:pt idx="102">
                  <c:v>8.2083394011214459</c:v>
                </c:pt>
                <c:pt idx="103">
                  <c:v>8.3006894429548854</c:v>
                </c:pt>
                <c:pt idx="104">
                  <c:v>8.3932704847883208</c:v>
                </c:pt>
                <c:pt idx="105">
                  <c:v>8.4860825266217592</c:v>
                </c:pt>
                <c:pt idx="106">
                  <c:v>8.579125568455197</c:v>
                </c:pt>
                <c:pt idx="107">
                  <c:v>8.6723996102886343</c:v>
                </c:pt>
                <c:pt idx="108">
                  <c:v>8.7659046521220745</c:v>
                </c:pt>
                <c:pt idx="109">
                  <c:v>8.8596406939555106</c:v>
                </c:pt>
                <c:pt idx="110">
                  <c:v>8.9536077357889479</c:v>
                </c:pt>
                <c:pt idx="111">
                  <c:v>9.0478057776223864</c:v>
                </c:pt>
                <c:pt idx="112">
                  <c:v>9.1422348194558243</c:v>
                </c:pt>
                <c:pt idx="113">
                  <c:v>9.2368948612892634</c:v>
                </c:pt>
                <c:pt idx="114">
                  <c:v>9.3317859031227002</c:v>
                </c:pt>
                <c:pt idx="115">
                  <c:v>9.4269079449561364</c:v>
                </c:pt>
                <c:pt idx="116">
                  <c:v>9.5222609867895756</c:v>
                </c:pt>
                <c:pt idx="117">
                  <c:v>9.6178450286230124</c:v>
                </c:pt>
                <c:pt idx="118">
                  <c:v>9.7136600704564522</c:v>
                </c:pt>
                <c:pt idx="119">
                  <c:v>9.8097061122898879</c:v>
                </c:pt>
                <c:pt idx="120">
                  <c:v>9.9059831541233265</c:v>
                </c:pt>
                <c:pt idx="121">
                  <c:v>10.002491195956765</c:v>
                </c:pt>
                <c:pt idx="122">
                  <c:v>10.099230237790202</c:v>
                </c:pt>
                <c:pt idx="123">
                  <c:v>10.196200279623641</c:v>
                </c:pt>
                <c:pt idx="124">
                  <c:v>10.293401321457079</c:v>
                </c:pt>
                <c:pt idx="125">
                  <c:v>10.390833363290515</c:v>
                </c:pt>
                <c:pt idx="126">
                  <c:v>10.488496405123954</c:v>
                </c:pt>
                <c:pt idx="127">
                  <c:v>10.586390446957394</c:v>
                </c:pt>
                <c:pt idx="128">
                  <c:v>10.684515488790831</c:v>
                </c:pt>
                <c:pt idx="129">
                  <c:v>10.782871530624268</c:v>
                </c:pt>
                <c:pt idx="130">
                  <c:v>10.881458572457705</c:v>
                </c:pt>
                <c:pt idx="131">
                  <c:v>10.980276614291142</c:v>
                </c:pt>
                <c:pt idx="132">
                  <c:v>11.079325656124583</c:v>
                </c:pt>
                <c:pt idx="133">
                  <c:v>11.17860569795802</c:v>
                </c:pt>
                <c:pt idx="134">
                  <c:v>11.278116739791457</c:v>
                </c:pt>
                <c:pt idx="135">
                  <c:v>11.377858781624894</c:v>
                </c:pt>
                <c:pt idx="136">
                  <c:v>11.477831823458333</c:v>
                </c:pt>
                <c:pt idx="137">
                  <c:v>11.578035865291771</c:v>
                </c:pt>
                <c:pt idx="138">
                  <c:v>11.678470907125208</c:v>
                </c:pt>
                <c:pt idx="139">
                  <c:v>11.779136948958646</c:v>
                </c:pt>
                <c:pt idx="140">
                  <c:v>11.880033990792082</c:v>
                </c:pt>
                <c:pt idx="141">
                  <c:v>11.981162032625523</c:v>
                </c:pt>
                <c:pt idx="142">
                  <c:v>12.082521074458962</c:v>
                </c:pt>
                <c:pt idx="143">
                  <c:v>12.184111116292398</c:v>
                </c:pt>
                <c:pt idx="144">
                  <c:v>12.285932158125837</c:v>
                </c:pt>
                <c:pt idx="145">
                  <c:v>12.387984199959272</c:v>
                </c:pt>
                <c:pt idx="146">
                  <c:v>12.490267241792711</c:v>
                </c:pt>
                <c:pt idx="147">
                  <c:v>12.592781283626149</c:v>
                </c:pt>
                <c:pt idx="148">
                  <c:v>12.695526325459587</c:v>
                </c:pt>
                <c:pt idx="149">
                  <c:v>12.798502367293025</c:v>
                </c:pt>
                <c:pt idx="150">
                  <c:v>12.901709409126463</c:v>
                </c:pt>
              </c:numCache>
            </c:numRef>
          </c:yVal>
          <c:smooth val="1"/>
          <c:extLst>
            <c:ext xmlns:c16="http://schemas.microsoft.com/office/drawing/2014/chart" uri="{C3380CC4-5D6E-409C-BE32-E72D297353CC}">
              <c16:uniqueId val="{00000001-F850-4D08-8BFC-748D436DD73B}"/>
            </c:ext>
          </c:extLst>
        </c:ser>
        <c:ser>
          <c:idx val="2"/>
          <c:order val="2"/>
          <c:tx>
            <c:v>Diode</c:v>
          </c:tx>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Eff_vs_IOUT!$AO$7:$AO$157</c:f>
              <c:numCache>
                <c:formatCode>General</c:formatCode>
                <c:ptCount val="151"/>
                <c:pt idx="0">
                  <c:v>0</c:v>
                </c:pt>
                <c:pt idx="1">
                  <c:v>1.4697144264058064</c:v>
                </c:pt>
                <c:pt idx="2">
                  <c:v>1.4833066970241562</c:v>
                </c:pt>
                <c:pt idx="3">
                  <c:v>1.4942733406241235</c:v>
                </c:pt>
                <c:pt idx="4">
                  <c:v>1.5039682180207503</c:v>
                </c:pt>
                <c:pt idx="5">
                  <c:v>1.5129047906683504</c:v>
                </c:pt>
                <c:pt idx="6">
                  <c:v>1.5213410210743727</c:v>
                </c:pt>
                <c:pt idx="7">
                  <c:v>1.5294270140741715</c:v>
                </c:pt>
                <c:pt idx="8">
                  <c:v>1.537369702623907</c:v>
                </c:pt>
                <c:pt idx="9">
                  <c:v>1.5455877026239071</c:v>
                </c:pt>
                <c:pt idx="10">
                  <c:v>1.5541137026239071</c:v>
                </c:pt>
                <c:pt idx="11">
                  <c:v>1.5629477026239071</c:v>
                </c:pt>
                <c:pt idx="12">
                  <c:v>1.5720897026239069</c:v>
                </c:pt>
                <c:pt idx="13">
                  <c:v>1.5815397026239071</c:v>
                </c:pt>
                <c:pt idx="14">
                  <c:v>1.591297702623907</c:v>
                </c:pt>
                <c:pt idx="15">
                  <c:v>1.6013637026239071</c:v>
                </c:pt>
                <c:pt idx="16">
                  <c:v>1.6117377026239073</c:v>
                </c:pt>
                <c:pt idx="17">
                  <c:v>1.6224197026239069</c:v>
                </c:pt>
                <c:pt idx="18">
                  <c:v>1.6334097026239069</c:v>
                </c:pt>
                <c:pt idx="19">
                  <c:v>1.644707702623907</c:v>
                </c:pt>
                <c:pt idx="20">
                  <c:v>1.656313702623907</c:v>
                </c:pt>
                <c:pt idx="21">
                  <c:v>1.668227702623907</c:v>
                </c:pt>
                <c:pt idx="22">
                  <c:v>1.6804497026239069</c:v>
                </c:pt>
                <c:pt idx="23">
                  <c:v>1.6929797026239071</c:v>
                </c:pt>
                <c:pt idx="24">
                  <c:v>1.7058177026239072</c:v>
                </c:pt>
                <c:pt idx="25">
                  <c:v>1.7189637026239069</c:v>
                </c:pt>
                <c:pt idx="26">
                  <c:v>1.7324177026239069</c:v>
                </c:pt>
                <c:pt idx="27">
                  <c:v>1.746179702623907</c:v>
                </c:pt>
                <c:pt idx="28">
                  <c:v>1.760249702623907</c:v>
                </c:pt>
                <c:pt idx="29">
                  <c:v>1.7746277026239072</c:v>
                </c:pt>
                <c:pt idx="30">
                  <c:v>1.789313702623907</c:v>
                </c:pt>
                <c:pt idx="31">
                  <c:v>1.8043077026239069</c:v>
                </c:pt>
                <c:pt idx="32">
                  <c:v>1.8196097026239071</c:v>
                </c:pt>
                <c:pt idx="33">
                  <c:v>1.8352197026239072</c:v>
                </c:pt>
                <c:pt idx="34">
                  <c:v>1.8511377026239071</c:v>
                </c:pt>
                <c:pt idx="35">
                  <c:v>1.8673637026239069</c:v>
                </c:pt>
                <c:pt idx="36">
                  <c:v>1.883897702623907</c:v>
                </c:pt>
                <c:pt idx="37">
                  <c:v>1.900739702623907</c:v>
                </c:pt>
                <c:pt idx="38">
                  <c:v>1.9178897026239072</c:v>
                </c:pt>
                <c:pt idx="39">
                  <c:v>1.935347702623907</c:v>
                </c:pt>
                <c:pt idx="40">
                  <c:v>1.9531137026239069</c:v>
                </c:pt>
                <c:pt idx="41">
                  <c:v>1.9711877026239073</c:v>
                </c:pt>
                <c:pt idx="42">
                  <c:v>1.989569702623907</c:v>
                </c:pt>
                <c:pt idx="43">
                  <c:v>2.0082597026239069</c:v>
                </c:pt>
                <c:pt idx="44">
                  <c:v>2.0272577026239071</c:v>
                </c:pt>
                <c:pt idx="45">
                  <c:v>2.046563702623907</c:v>
                </c:pt>
                <c:pt idx="46">
                  <c:v>2.0661777026239072</c:v>
                </c:pt>
                <c:pt idx="47">
                  <c:v>2.086099702623907</c:v>
                </c:pt>
                <c:pt idx="48">
                  <c:v>2.1063297026239072</c:v>
                </c:pt>
                <c:pt idx="49">
                  <c:v>2.1268677026239073</c:v>
                </c:pt>
                <c:pt idx="50">
                  <c:v>2.147713702623907</c:v>
                </c:pt>
                <c:pt idx="51">
                  <c:v>2.1688677026239072</c:v>
                </c:pt>
                <c:pt idx="52">
                  <c:v>2.1903297026239068</c:v>
                </c:pt>
                <c:pt idx="53">
                  <c:v>2.2120997026239069</c:v>
                </c:pt>
                <c:pt idx="54">
                  <c:v>2.2341777026239074</c:v>
                </c:pt>
                <c:pt idx="55">
                  <c:v>2.2565637026239074</c:v>
                </c:pt>
                <c:pt idx="56">
                  <c:v>2.2792577026239074</c:v>
                </c:pt>
                <c:pt idx="57">
                  <c:v>2.3022597026239073</c:v>
                </c:pt>
                <c:pt idx="58">
                  <c:v>2.3255697026239073</c:v>
                </c:pt>
                <c:pt idx="59">
                  <c:v>2.3491877026239076</c:v>
                </c:pt>
                <c:pt idx="60">
                  <c:v>2.3731137026239071</c:v>
                </c:pt>
                <c:pt idx="61">
                  <c:v>2.3973477026239074</c:v>
                </c:pt>
                <c:pt idx="62">
                  <c:v>2.4218897026239072</c:v>
                </c:pt>
                <c:pt idx="63">
                  <c:v>2.4467397026239071</c:v>
                </c:pt>
                <c:pt idx="64">
                  <c:v>2.4718977026239077</c:v>
                </c:pt>
                <c:pt idx="65">
                  <c:v>2.4973637026239071</c:v>
                </c:pt>
                <c:pt idx="66">
                  <c:v>2.5231377026239077</c:v>
                </c:pt>
                <c:pt idx="67">
                  <c:v>2.5492197026239074</c:v>
                </c:pt>
                <c:pt idx="68">
                  <c:v>2.5756097026239071</c:v>
                </c:pt>
                <c:pt idx="69">
                  <c:v>2.6023077026239072</c:v>
                </c:pt>
                <c:pt idx="70">
                  <c:v>2.6293137026239073</c:v>
                </c:pt>
                <c:pt idx="71">
                  <c:v>2.6566277026239073</c:v>
                </c:pt>
                <c:pt idx="72">
                  <c:v>2.6842497026239074</c:v>
                </c:pt>
                <c:pt idx="73">
                  <c:v>2.7121797026239074</c:v>
                </c:pt>
                <c:pt idx="74">
                  <c:v>2.7404177026239074</c:v>
                </c:pt>
                <c:pt idx="75">
                  <c:v>2.7689637026239073</c:v>
                </c:pt>
                <c:pt idx="76">
                  <c:v>2.7978177026239073</c:v>
                </c:pt>
                <c:pt idx="77">
                  <c:v>2.8269797026239076</c:v>
                </c:pt>
                <c:pt idx="78">
                  <c:v>2.8564497026239075</c:v>
                </c:pt>
                <c:pt idx="79">
                  <c:v>2.8862277026239074</c:v>
                </c:pt>
                <c:pt idx="80">
                  <c:v>2.9163137026239077</c:v>
                </c:pt>
                <c:pt idx="81">
                  <c:v>2.946707702623907</c:v>
                </c:pt>
                <c:pt idx="82">
                  <c:v>2.9774097026239073</c:v>
                </c:pt>
                <c:pt idx="83">
                  <c:v>3.0084197026239075</c:v>
                </c:pt>
                <c:pt idx="84">
                  <c:v>3.0397377026239076</c:v>
                </c:pt>
                <c:pt idx="85">
                  <c:v>3.0713637026239073</c:v>
                </c:pt>
                <c:pt idx="86">
                  <c:v>3.103297702623907</c:v>
                </c:pt>
                <c:pt idx="87">
                  <c:v>3.1355397026239067</c:v>
                </c:pt>
                <c:pt idx="88">
                  <c:v>3.1680897026239072</c:v>
                </c:pt>
                <c:pt idx="89">
                  <c:v>3.2009477026239077</c:v>
                </c:pt>
                <c:pt idx="90">
                  <c:v>3.2341137026239073</c:v>
                </c:pt>
                <c:pt idx="91">
                  <c:v>3.2675877026239069</c:v>
                </c:pt>
                <c:pt idx="92">
                  <c:v>3.3013697026239068</c:v>
                </c:pt>
                <c:pt idx="93">
                  <c:v>3.3354597026239077</c:v>
                </c:pt>
                <c:pt idx="94">
                  <c:v>3.3698577026239067</c:v>
                </c:pt>
                <c:pt idx="95">
                  <c:v>3.4045637026239071</c:v>
                </c:pt>
                <c:pt idx="96">
                  <c:v>3.4395777026239074</c:v>
                </c:pt>
                <c:pt idx="97">
                  <c:v>3.4748997026239072</c:v>
                </c:pt>
                <c:pt idx="98">
                  <c:v>3.5105297026239071</c:v>
                </c:pt>
                <c:pt idx="99">
                  <c:v>3.5464677026239069</c:v>
                </c:pt>
                <c:pt idx="100">
                  <c:v>3.5827137026239071</c:v>
                </c:pt>
                <c:pt idx="101">
                  <c:v>3.6192677026239068</c:v>
                </c:pt>
                <c:pt idx="102">
                  <c:v>3.6561297026239075</c:v>
                </c:pt>
                <c:pt idx="103">
                  <c:v>3.6932997026239072</c:v>
                </c:pt>
                <c:pt idx="104">
                  <c:v>3.7307777026239068</c:v>
                </c:pt>
                <c:pt idx="105">
                  <c:v>3.7685637026239069</c:v>
                </c:pt>
                <c:pt idx="106">
                  <c:v>3.8066577026239066</c:v>
                </c:pt>
                <c:pt idx="107">
                  <c:v>3.8450597026239071</c:v>
                </c:pt>
                <c:pt idx="108">
                  <c:v>3.8837697026239066</c:v>
                </c:pt>
                <c:pt idx="109">
                  <c:v>3.9227877026239071</c:v>
                </c:pt>
                <c:pt idx="110">
                  <c:v>3.9621137026239066</c:v>
                </c:pt>
                <c:pt idx="111">
                  <c:v>4.0017477026239074</c:v>
                </c:pt>
                <c:pt idx="112">
                  <c:v>4.0416897026239074</c:v>
                </c:pt>
                <c:pt idx="113">
                  <c:v>4.0819397026239077</c:v>
                </c:pt>
                <c:pt idx="114">
                  <c:v>4.1224977026239058</c:v>
                </c:pt>
                <c:pt idx="115">
                  <c:v>4.163363702623907</c:v>
                </c:pt>
                <c:pt idx="116">
                  <c:v>4.2045377026239077</c:v>
                </c:pt>
                <c:pt idx="117">
                  <c:v>4.2460197026239079</c:v>
                </c:pt>
                <c:pt idx="118">
                  <c:v>4.2878097026239068</c:v>
                </c:pt>
                <c:pt idx="119">
                  <c:v>4.329907702623907</c:v>
                </c:pt>
                <c:pt idx="120">
                  <c:v>4.3723137026239076</c:v>
                </c:pt>
                <c:pt idx="121">
                  <c:v>4.415027702623906</c:v>
                </c:pt>
                <c:pt idx="122">
                  <c:v>4.4580497026239074</c:v>
                </c:pt>
                <c:pt idx="123">
                  <c:v>4.5013797026239066</c:v>
                </c:pt>
                <c:pt idx="124">
                  <c:v>4.5450177026239071</c:v>
                </c:pt>
                <c:pt idx="125">
                  <c:v>4.5889637026239063</c:v>
                </c:pt>
                <c:pt idx="126">
                  <c:v>4.6332177026239068</c:v>
                </c:pt>
                <c:pt idx="127">
                  <c:v>4.6777797026239076</c:v>
                </c:pt>
                <c:pt idx="128">
                  <c:v>4.7226497026239072</c:v>
                </c:pt>
                <c:pt idx="129">
                  <c:v>4.7678277026239071</c:v>
                </c:pt>
                <c:pt idx="130">
                  <c:v>4.8133137026239066</c:v>
                </c:pt>
                <c:pt idx="131">
                  <c:v>4.8591077026239073</c:v>
                </c:pt>
                <c:pt idx="132">
                  <c:v>4.9052097026239077</c:v>
                </c:pt>
                <c:pt idx="133">
                  <c:v>4.9516197026239075</c:v>
                </c:pt>
                <c:pt idx="134">
                  <c:v>4.9983377026239069</c:v>
                </c:pt>
                <c:pt idx="135">
                  <c:v>5.0453637026239067</c:v>
                </c:pt>
                <c:pt idx="136">
                  <c:v>5.0926977026239069</c:v>
                </c:pt>
                <c:pt idx="137">
                  <c:v>5.1403397026239084</c:v>
                </c:pt>
                <c:pt idx="138">
                  <c:v>5.1882897026239059</c:v>
                </c:pt>
                <c:pt idx="139">
                  <c:v>5.2365477026239082</c:v>
                </c:pt>
                <c:pt idx="140">
                  <c:v>5.2851137026239066</c:v>
                </c:pt>
                <c:pt idx="141">
                  <c:v>5.3339877026239062</c:v>
                </c:pt>
                <c:pt idx="142">
                  <c:v>5.383169702623908</c:v>
                </c:pt>
                <c:pt idx="143">
                  <c:v>5.4326597026239067</c:v>
                </c:pt>
                <c:pt idx="144">
                  <c:v>5.4824577026239076</c:v>
                </c:pt>
                <c:pt idx="145">
                  <c:v>5.5325637026239063</c:v>
                </c:pt>
                <c:pt idx="146">
                  <c:v>5.582977702623908</c:v>
                </c:pt>
                <c:pt idx="147">
                  <c:v>5.6336997026239075</c:v>
                </c:pt>
                <c:pt idx="148">
                  <c:v>5.6847297026239074</c:v>
                </c:pt>
                <c:pt idx="149">
                  <c:v>5.7360677026239077</c:v>
                </c:pt>
                <c:pt idx="150">
                  <c:v>5.7877137026239058</c:v>
                </c:pt>
              </c:numCache>
            </c:numRef>
          </c:yVal>
          <c:smooth val="1"/>
          <c:extLst>
            <c:ext xmlns:c16="http://schemas.microsoft.com/office/drawing/2014/chart" uri="{C3380CC4-5D6E-409C-BE32-E72D297353CC}">
              <c16:uniqueId val="{00000002-F850-4D08-8BFC-748D436DD73B}"/>
            </c:ext>
          </c:extLst>
        </c:ser>
        <c:ser>
          <c:idx val="3"/>
          <c:order val="3"/>
          <c:tx>
            <c:v>RCS</c:v>
          </c:tx>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Eff_vs_IOUT!$AP$7:$AP$157</c:f>
              <c:numCache>
                <c:formatCode>General</c:formatCode>
                <c:ptCount val="151"/>
                <c:pt idx="0">
                  <c:v>0</c:v>
                </c:pt>
                <c:pt idx="1">
                  <c:v>1.660195771588399E-4</c:v>
                </c:pt>
                <c:pt idx="2">
                  <c:v>4.6957427527495593E-4</c:v>
                </c:pt>
                <c:pt idx="3">
                  <c:v>8.6266302807063691E-4</c:v>
                </c:pt>
                <c:pt idx="4">
                  <c:v>1.328156617270719E-3</c:v>
                </c:pt>
                <c:pt idx="5">
                  <c:v>1.8561553006146883E-3</c:v>
                </c:pt>
                <c:pt idx="6">
                  <c:v>2.439979508110673E-3</c:v>
                </c:pt>
                <c:pt idx="7">
                  <c:v>3.0747255975127272E-3</c:v>
                </c:pt>
                <c:pt idx="8">
                  <c:v>3.7665306122448977E-3</c:v>
                </c:pt>
                <c:pt idx="9">
                  <c:v>4.547468112244899E-3</c:v>
                </c:pt>
                <c:pt idx="10">
                  <c:v>5.4202806122448976E-3</c:v>
                </c:pt>
                <c:pt idx="11">
                  <c:v>6.384968112244897E-3</c:v>
                </c:pt>
                <c:pt idx="12">
                  <c:v>7.441530612244898E-3</c:v>
                </c:pt>
                <c:pt idx="13">
                  <c:v>8.5899681122448973E-3</c:v>
                </c:pt>
                <c:pt idx="14">
                  <c:v>9.8302806122448991E-3</c:v>
                </c:pt>
                <c:pt idx="15">
                  <c:v>1.1162468112244899E-2</c:v>
                </c:pt>
                <c:pt idx="16">
                  <c:v>1.2586530612244903E-2</c:v>
                </c:pt>
                <c:pt idx="17">
                  <c:v>1.4102468112244901E-2</c:v>
                </c:pt>
                <c:pt idx="18">
                  <c:v>1.5710280612244908E-2</c:v>
                </c:pt>
                <c:pt idx="19">
                  <c:v>1.7409968112244906E-2</c:v>
                </c:pt>
                <c:pt idx="20">
                  <c:v>1.9201530612244899E-2</c:v>
                </c:pt>
                <c:pt idx="21">
                  <c:v>2.1084968112244903E-2</c:v>
                </c:pt>
                <c:pt idx="22">
                  <c:v>2.3060280612244903E-2</c:v>
                </c:pt>
                <c:pt idx="23">
                  <c:v>2.5127468112244904E-2</c:v>
                </c:pt>
                <c:pt idx="24">
                  <c:v>2.7286530612244897E-2</c:v>
                </c:pt>
                <c:pt idx="25">
                  <c:v>2.9537468112244898E-2</c:v>
                </c:pt>
                <c:pt idx="26">
                  <c:v>3.1880280612244891E-2</c:v>
                </c:pt>
                <c:pt idx="27">
                  <c:v>3.4314968112244909E-2</c:v>
                </c:pt>
                <c:pt idx="28">
                  <c:v>3.6841530612244898E-2</c:v>
                </c:pt>
                <c:pt idx="29">
                  <c:v>3.9459968112244906E-2</c:v>
                </c:pt>
                <c:pt idx="30">
                  <c:v>4.2170280612244898E-2</c:v>
                </c:pt>
                <c:pt idx="31">
                  <c:v>4.4972468112244909E-2</c:v>
                </c:pt>
                <c:pt idx="32">
                  <c:v>4.7866530612244912E-2</c:v>
                </c:pt>
                <c:pt idx="33">
                  <c:v>5.0852468112244913E-2</c:v>
                </c:pt>
                <c:pt idx="34">
                  <c:v>5.3930280612244905E-2</c:v>
                </c:pt>
                <c:pt idx="35">
                  <c:v>5.7099968112244902E-2</c:v>
                </c:pt>
                <c:pt idx="36">
                  <c:v>6.0361530612244911E-2</c:v>
                </c:pt>
                <c:pt idx="37">
                  <c:v>6.3714968112244905E-2</c:v>
                </c:pt>
                <c:pt idx="38">
                  <c:v>6.7160280612244924E-2</c:v>
                </c:pt>
                <c:pt idx="39">
                  <c:v>7.0697468112244907E-2</c:v>
                </c:pt>
                <c:pt idx="40">
                  <c:v>7.4326530612244909E-2</c:v>
                </c:pt>
                <c:pt idx="41">
                  <c:v>7.804746811224493E-2</c:v>
                </c:pt>
                <c:pt idx="42">
                  <c:v>8.1860280612244915E-2</c:v>
                </c:pt>
                <c:pt idx="43">
                  <c:v>8.5764968112244877E-2</c:v>
                </c:pt>
                <c:pt idx="44">
                  <c:v>8.9761530612244914E-2</c:v>
                </c:pt>
                <c:pt idx="45">
                  <c:v>9.38499681122449E-2</c:v>
                </c:pt>
                <c:pt idx="46">
                  <c:v>9.8030280612244933E-2</c:v>
                </c:pt>
                <c:pt idx="47">
                  <c:v>0.10230246811224492</c:v>
                </c:pt>
                <c:pt idx="48">
                  <c:v>0.10666653061224493</c:v>
                </c:pt>
                <c:pt idx="49">
                  <c:v>0.11112246811224492</c:v>
                </c:pt>
                <c:pt idx="50">
                  <c:v>0.11567028061224491</c:v>
                </c:pt>
                <c:pt idx="51">
                  <c:v>0.12030996811224492</c:v>
                </c:pt>
                <c:pt idx="52">
                  <c:v>0.12504153061224488</c:v>
                </c:pt>
                <c:pt idx="53">
                  <c:v>0.12986496811224488</c:v>
                </c:pt>
                <c:pt idx="54">
                  <c:v>0.13478028061224495</c:v>
                </c:pt>
                <c:pt idx="55">
                  <c:v>0.13978746811224491</c:v>
                </c:pt>
                <c:pt idx="56">
                  <c:v>0.14488653061224496</c:v>
                </c:pt>
                <c:pt idx="57">
                  <c:v>0.1500774681122449</c:v>
                </c:pt>
                <c:pt idx="58">
                  <c:v>0.15536028061224488</c:v>
                </c:pt>
                <c:pt idx="59">
                  <c:v>0.16073496811224494</c:v>
                </c:pt>
                <c:pt idx="60">
                  <c:v>0.16620153061224491</c:v>
                </c:pt>
                <c:pt idx="61">
                  <c:v>0.17175996811224498</c:v>
                </c:pt>
                <c:pt idx="62">
                  <c:v>0.17741028061224492</c:v>
                </c:pt>
                <c:pt idx="63">
                  <c:v>0.18315246811224495</c:v>
                </c:pt>
                <c:pt idx="64">
                  <c:v>0.18898653061224494</c:v>
                </c:pt>
                <c:pt idx="65">
                  <c:v>0.19491246811224489</c:v>
                </c:pt>
                <c:pt idx="66">
                  <c:v>0.20093028061224497</c:v>
                </c:pt>
                <c:pt idx="67">
                  <c:v>0.20703996811224493</c:v>
                </c:pt>
                <c:pt idx="68">
                  <c:v>0.21324153061224491</c:v>
                </c:pt>
                <c:pt idx="69">
                  <c:v>0.21953496811224496</c:v>
                </c:pt>
                <c:pt idx="70">
                  <c:v>0.22592028061224492</c:v>
                </c:pt>
                <c:pt idx="71">
                  <c:v>0.23239746811224501</c:v>
                </c:pt>
                <c:pt idx="72">
                  <c:v>0.23896653061224499</c:v>
                </c:pt>
                <c:pt idx="73">
                  <c:v>0.2456274681122449</c:v>
                </c:pt>
                <c:pt idx="74">
                  <c:v>0.25238028061224488</c:v>
                </c:pt>
                <c:pt idx="75">
                  <c:v>0.25922496811224494</c:v>
                </c:pt>
                <c:pt idx="76">
                  <c:v>0.26616153061224501</c:v>
                </c:pt>
                <c:pt idx="77">
                  <c:v>0.27318996811224489</c:v>
                </c:pt>
                <c:pt idx="78">
                  <c:v>0.28031028061224494</c:v>
                </c:pt>
                <c:pt idx="79">
                  <c:v>0.28752246811224497</c:v>
                </c:pt>
                <c:pt idx="80">
                  <c:v>0.2948265306122449</c:v>
                </c:pt>
                <c:pt idx="81">
                  <c:v>0.3022224681122449</c:v>
                </c:pt>
                <c:pt idx="82">
                  <c:v>0.30971028061224493</c:v>
                </c:pt>
                <c:pt idx="83">
                  <c:v>0.31728996811224491</c:v>
                </c:pt>
                <c:pt idx="84">
                  <c:v>0.32496153061224492</c:v>
                </c:pt>
                <c:pt idx="85">
                  <c:v>0.33272496811224489</c:v>
                </c:pt>
                <c:pt idx="86">
                  <c:v>0.34058028061224482</c:v>
                </c:pt>
                <c:pt idx="87">
                  <c:v>0.34852746811224494</c:v>
                </c:pt>
                <c:pt idx="88">
                  <c:v>0.35656653061224491</c:v>
                </c:pt>
                <c:pt idx="89">
                  <c:v>0.36469746811224496</c:v>
                </c:pt>
                <c:pt idx="90">
                  <c:v>0.37292028061224491</c:v>
                </c:pt>
                <c:pt idx="91">
                  <c:v>0.38123496811224483</c:v>
                </c:pt>
                <c:pt idx="92">
                  <c:v>0.38964153061224494</c:v>
                </c:pt>
                <c:pt idx="93">
                  <c:v>0.39813996811224489</c:v>
                </c:pt>
                <c:pt idx="94">
                  <c:v>0.40673028061224475</c:v>
                </c:pt>
                <c:pt idx="95">
                  <c:v>0.41541246811224491</c:v>
                </c:pt>
                <c:pt idx="96">
                  <c:v>0.42418653061224482</c:v>
                </c:pt>
                <c:pt idx="97">
                  <c:v>0.43305246811224507</c:v>
                </c:pt>
                <c:pt idx="98">
                  <c:v>0.44201028061224495</c:v>
                </c:pt>
                <c:pt idx="99">
                  <c:v>0.45105996811224497</c:v>
                </c:pt>
                <c:pt idx="100">
                  <c:v>0.46020153061224478</c:v>
                </c:pt>
                <c:pt idx="101">
                  <c:v>0.46943496811224489</c:v>
                </c:pt>
                <c:pt idx="102">
                  <c:v>0.47876028061224496</c:v>
                </c:pt>
                <c:pt idx="103">
                  <c:v>0.48817746811224505</c:v>
                </c:pt>
                <c:pt idx="104">
                  <c:v>0.49768653061224472</c:v>
                </c:pt>
                <c:pt idx="105">
                  <c:v>0.5072874681122449</c:v>
                </c:pt>
                <c:pt idx="106">
                  <c:v>0.51698028061224488</c:v>
                </c:pt>
                <c:pt idx="107">
                  <c:v>0.52676496811224505</c:v>
                </c:pt>
                <c:pt idx="108">
                  <c:v>0.53664153061224507</c:v>
                </c:pt>
                <c:pt idx="109">
                  <c:v>0.54660996811224494</c:v>
                </c:pt>
                <c:pt idx="110">
                  <c:v>0.55667028061224488</c:v>
                </c:pt>
                <c:pt idx="111">
                  <c:v>0.56682246811224501</c:v>
                </c:pt>
                <c:pt idx="112">
                  <c:v>0.577066530612245</c:v>
                </c:pt>
                <c:pt idx="113">
                  <c:v>0.58740246811224506</c:v>
                </c:pt>
                <c:pt idx="114">
                  <c:v>0.59783028061224497</c:v>
                </c:pt>
                <c:pt idx="115">
                  <c:v>0.60834996811224484</c:v>
                </c:pt>
                <c:pt idx="116">
                  <c:v>0.6189615306122449</c:v>
                </c:pt>
                <c:pt idx="117">
                  <c:v>0.62966496811224504</c:v>
                </c:pt>
                <c:pt idx="118">
                  <c:v>0.64046028061224503</c:v>
                </c:pt>
                <c:pt idx="119">
                  <c:v>0.65134746811224487</c:v>
                </c:pt>
                <c:pt idx="120">
                  <c:v>0.662326530612245</c:v>
                </c:pt>
                <c:pt idx="121">
                  <c:v>0.67339746811224499</c:v>
                </c:pt>
                <c:pt idx="122">
                  <c:v>0.68456028061224528</c:v>
                </c:pt>
                <c:pt idx="123">
                  <c:v>0.69581496811224508</c:v>
                </c:pt>
                <c:pt idx="124">
                  <c:v>0.70716153061224518</c:v>
                </c:pt>
                <c:pt idx="125">
                  <c:v>0.71859996811224491</c:v>
                </c:pt>
                <c:pt idx="126">
                  <c:v>0.73013028061224494</c:v>
                </c:pt>
                <c:pt idx="127">
                  <c:v>0.74175246811224538</c:v>
                </c:pt>
                <c:pt idx="128">
                  <c:v>0.75346653061224511</c:v>
                </c:pt>
                <c:pt idx="129">
                  <c:v>0.76527246811224503</c:v>
                </c:pt>
                <c:pt idx="130">
                  <c:v>0.77717028061224491</c:v>
                </c:pt>
                <c:pt idx="131">
                  <c:v>0.78915996811224487</c:v>
                </c:pt>
                <c:pt idx="132">
                  <c:v>0.80124153061224523</c:v>
                </c:pt>
                <c:pt idx="133">
                  <c:v>0.81341496811224512</c:v>
                </c:pt>
                <c:pt idx="134">
                  <c:v>0.82568028061224508</c:v>
                </c:pt>
                <c:pt idx="135">
                  <c:v>0.83803746811224489</c:v>
                </c:pt>
                <c:pt idx="136">
                  <c:v>0.85048653061224511</c:v>
                </c:pt>
                <c:pt idx="137">
                  <c:v>0.8630274681122454</c:v>
                </c:pt>
                <c:pt idx="138">
                  <c:v>0.87566028061224499</c:v>
                </c:pt>
                <c:pt idx="139">
                  <c:v>0.88838496811224499</c:v>
                </c:pt>
                <c:pt idx="140">
                  <c:v>0.90120153061224506</c:v>
                </c:pt>
                <c:pt idx="141">
                  <c:v>0.91410996811224499</c:v>
                </c:pt>
                <c:pt idx="142">
                  <c:v>0.92711028061224532</c:v>
                </c:pt>
                <c:pt idx="143">
                  <c:v>0.94020246811224506</c:v>
                </c:pt>
                <c:pt idx="144">
                  <c:v>0.95338653061224499</c:v>
                </c:pt>
                <c:pt idx="145">
                  <c:v>0.9666624681122451</c:v>
                </c:pt>
                <c:pt idx="146">
                  <c:v>0.98003028061224495</c:v>
                </c:pt>
                <c:pt idx="147">
                  <c:v>0.99348996811224544</c:v>
                </c:pt>
                <c:pt idx="148">
                  <c:v>1.0070415306122449</c:v>
                </c:pt>
                <c:pt idx="149">
                  <c:v>1.020684968112245</c:v>
                </c:pt>
                <c:pt idx="150">
                  <c:v>1.0344202806122451</c:v>
                </c:pt>
              </c:numCache>
            </c:numRef>
          </c:yVal>
          <c:smooth val="1"/>
          <c:extLst>
            <c:ext xmlns:c16="http://schemas.microsoft.com/office/drawing/2014/chart" uri="{C3380CC4-5D6E-409C-BE32-E72D297353CC}">
              <c16:uniqueId val="{00000003-F850-4D08-8BFC-748D436DD73B}"/>
            </c:ext>
          </c:extLst>
        </c:ser>
        <c:dLbls>
          <c:showLegendKey val="0"/>
          <c:showVal val="0"/>
          <c:showCatName val="0"/>
          <c:showSerName val="0"/>
          <c:showPercent val="0"/>
          <c:showBubbleSize val="0"/>
        </c:dLbls>
        <c:axId val="543660288"/>
        <c:axId val="543658752"/>
      </c:scatterChart>
      <c:valAx>
        <c:axId val="224130176"/>
        <c:scaling>
          <c:orientation val="minMax"/>
          <c:max val="6"/>
        </c:scaling>
        <c:delete val="0"/>
        <c:axPos val="b"/>
        <c:majorGridlines/>
        <c:numFmt formatCode="General" sourceLinked="1"/>
        <c:majorTickMark val="out"/>
        <c:minorTickMark val="none"/>
        <c:tickLblPos val="nextTo"/>
        <c:crossAx val="224131712"/>
        <c:crosses val="autoZero"/>
        <c:crossBetween val="midCat"/>
      </c:valAx>
      <c:valAx>
        <c:axId val="224131712"/>
        <c:scaling>
          <c:orientation val="minMax"/>
          <c:max val="100"/>
          <c:min val="6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224130176"/>
        <c:crosses val="autoZero"/>
        <c:crossBetween val="midCat"/>
      </c:valAx>
      <c:valAx>
        <c:axId val="543658752"/>
        <c:scaling>
          <c:orientation val="minMax"/>
        </c:scaling>
        <c:delete val="0"/>
        <c:axPos val="r"/>
        <c:numFmt formatCode="General" sourceLinked="1"/>
        <c:majorTickMark val="out"/>
        <c:minorTickMark val="none"/>
        <c:tickLblPos val="nextTo"/>
        <c:crossAx val="543660288"/>
        <c:crosses val="max"/>
        <c:crossBetween val="midCat"/>
      </c:valAx>
      <c:valAx>
        <c:axId val="543660288"/>
        <c:scaling>
          <c:orientation val="minMax"/>
        </c:scaling>
        <c:delete val="1"/>
        <c:axPos val="b"/>
        <c:numFmt formatCode="General" sourceLinked="1"/>
        <c:majorTickMark val="out"/>
        <c:minorTickMark val="none"/>
        <c:tickLblPos val="nextTo"/>
        <c:crossAx val="543658752"/>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Eff_vs_IOUT!$AW$7:$AW$157</c:f>
              <c:numCache>
                <c:formatCode>General</c:formatCode>
                <c:ptCount val="151"/>
                <c:pt idx="0">
                  <c:v>0</c:v>
                </c:pt>
                <c:pt idx="1">
                  <c:v>53.459301846620477</c:v>
                </c:pt>
                <c:pt idx="2">
                  <c:v>67.515703507297758</c:v>
                </c:pt>
                <c:pt idx="3">
                  <c:v>73.942423923512408</c:v>
                </c:pt>
                <c:pt idx="4">
                  <c:v>77.599217418940668</c:v>
                </c:pt>
                <c:pt idx="5">
                  <c:v>79.945292447295415</c:v>
                </c:pt>
                <c:pt idx="6">
                  <c:v>81.569722957003378</c:v>
                </c:pt>
                <c:pt idx="7">
                  <c:v>82.75547106836116</c:v>
                </c:pt>
                <c:pt idx="8">
                  <c:v>84.035984136670734</c:v>
                </c:pt>
                <c:pt idx="9">
                  <c:v>85.240695671386604</c:v>
                </c:pt>
                <c:pt idx="10">
                  <c:v>86.226790478464892</c:v>
                </c:pt>
                <c:pt idx="11">
                  <c:v>87.048103273959924</c:v>
                </c:pt>
                <c:pt idx="12">
                  <c:v>87.742134216002043</c:v>
                </c:pt>
                <c:pt idx="13">
                  <c:v>88.335807393701259</c:v>
                </c:pt>
                <c:pt idx="14">
                  <c:v>88.848953686893338</c:v>
                </c:pt>
                <c:pt idx="15">
                  <c:v>89.296502324721558</c:v>
                </c:pt>
                <c:pt idx="16">
                  <c:v>89.689907191777863</c:v>
                </c:pt>
                <c:pt idx="17">
                  <c:v>90.038102484445943</c:v>
                </c:pt>
                <c:pt idx="18">
                  <c:v>90.34815946036241</c:v>
                </c:pt>
                <c:pt idx="19">
                  <c:v>90.625747949708853</c:v>
                </c:pt>
                <c:pt idx="20">
                  <c:v>90.875467145428502</c:v>
                </c:pt>
                <c:pt idx="21">
                  <c:v>91.101086922266674</c:v>
                </c:pt>
                <c:pt idx="22">
                  <c:v>91.305726700015668</c:v>
                </c:pt>
                <c:pt idx="23">
                  <c:v>91.491989929371528</c:v>
                </c:pt>
                <c:pt idx="24">
                  <c:v>91.662066535764254</c:v>
                </c:pt>
                <c:pt idx="25">
                  <c:v>91.817811887558648</c:v>
                </c:pt>
                <c:pt idx="26">
                  <c:v>91.960808333920866</c:v>
                </c:pt>
                <c:pt idx="27">
                  <c:v>92.092413641635517</c:v>
                </c:pt>
                <c:pt idx="28">
                  <c:v>92.213799473362684</c:v>
                </c:pt>
                <c:pt idx="29">
                  <c:v>92.325982216908599</c:v>
                </c:pt>
                <c:pt idx="30">
                  <c:v>92.429847882563124</c:v>
                </c:pt>
                <c:pt idx="31">
                  <c:v>92.526172358734414</c:v>
                </c:pt>
                <c:pt idx="32">
                  <c:v>92.615638005054393</c:v>
                </c:pt>
                <c:pt idx="33">
                  <c:v>92.698847332967233</c:v>
                </c:pt>
                <c:pt idx="34">
                  <c:v>92.776334353274237</c:v>
                </c:pt>
                <c:pt idx="35">
                  <c:v>92.84857404198786</c:v>
                </c:pt>
                <c:pt idx="36">
                  <c:v>92.915990278738036</c:v>
                </c:pt>
                <c:pt idx="37">
                  <c:v>92.978962537753986</c:v>
                </c:pt>
                <c:pt idx="38">
                  <c:v>93.037831554272586</c:v>
                </c:pt>
                <c:pt idx="39">
                  <c:v>93.092904144856846</c:v>
                </c:pt>
                <c:pt idx="40">
                  <c:v>93.144457325436761</c:v>
                </c:pt>
                <c:pt idx="41">
                  <c:v>93.19274184361133</c:v>
                </c:pt>
                <c:pt idx="42">
                  <c:v>93.237985220160013</c:v>
                </c:pt>
                <c:pt idx="43">
                  <c:v>93.280394377520835</c:v>
                </c:pt>
                <c:pt idx="44">
                  <c:v>93.3201579192243</c:v>
                </c:pt>
                <c:pt idx="45">
                  <c:v>93.357448113188141</c:v>
                </c:pt>
                <c:pt idx="46">
                  <c:v>93.392422622807644</c:v>
                </c:pt>
                <c:pt idx="47">
                  <c:v>93.425226022481638</c:v>
                </c:pt>
                <c:pt idx="48">
                  <c:v>93.455991128254396</c:v>
                </c:pt>
                <c:pt idx="49">
                  <c:v>93.484840169362855</c:v>
                </c:pt>
                <c:pt idx="50">
                  <c:v>93.511885822447766</c:v>
                </c:pt>
                <c:pt idx="51">
                  <c:v>93.53723212685118</c:v>
                </c:pt>
                <c:pt idx="52">
                  <c:v>93.560975296651918</c:v>
                </c:pt>
                <c:pt idx="53">
                  <c:v>93.583204442779859</c:v>
                </c:pt>
                <c:pt idx="54">
                  <c:v>93.604002216615157</c:v>
                </c:pt>
                <c:pt idx="55">
                  <c:v>93.623445384855131</c:v>
                </c:pt>
                <c:pt idx="56">
                  <c:v>93.641605344062654</c:v>
                </c:pt>
                <c:pt idx="57">
                  <c:v>93.658548582152591</c:v>
                </c:pt>
                <c:pt idx="58">
                  <c:v>93.674337093092802</c:v>
                </c:pt>
                <c:pt idx="59">
                  <c:v>93.689028750260917</c:v>
                </c:pt>
                <c:pt idx="60">
                  <c:v>93.702677643187627</c:v>
                </c:pt>
                <c:pt idx="61">
                  <c:v>93.715334381807537</c:v>
                </c:pt>
                <c:pt idx="62">
                  <c:v>93.727046371817863</c:v>
                </c:pt>
                <c:pt idx="63">
                  <c:v>93.737858064295949</c:v>
                </c:pt>
                <c:pt idx="64">
                  <c:v>93.747811182339532</c:v>
                </c:pt>
                <c:pt idx="65">
                  <c:v>93.756944927160703</c:v>
                </c:pt>
                <c:pt idx="66">
                  <c:v>93.765296165773705</c:v>
                </c:pt>
                <c:pt idx="67">
                  <c:v>93.77289960216666</c:v>
                </c:pt>
                <c:pt idx="68">
                  <c:v>93.779787933628057</c:v>
                </c:pt>
                <c:pt idx="69">
                  <c:v>93.785991993708919</c:v>
                </c:pt>
                <c:pt idx="70">
                  <c:v>93.791540883134473</c:v>
                </c:pt>
                <c:pt idx="71">
                  <c:v>93.796462089834478</c:v>
                </c:pt>
                <c:pt idx="72">
                  <c:v>93.800781599132449</c:v>
                </c:pt>
                <c:pt idx="73">
                  <c:v>93.804523995022876</c:v>
                </c:pt>
                <c:pt idx="74">
                  <c:v>93.807712553365889</c:v>
                </c:pt>
                <c:pt idx="75">
                  <c:v>93.810369327742038</c:v>
                </c:pt>
                <c:pt idx="76">
                  <c:v>93.812515228633202</c:v>
                </c:pt>
                <c:pt idx="77">
                  <c:v>93.814170096526595</c:v>
                </c:pt>
                <c:pt idx="78">
                  <c:v>93.815352769479716</c:v>
                </c:pt>
                <c:pt idx="79">
                  <c:v>93.816081145629255</c:v>
                </c:pt>
                <c:pt idx="80">
                  <c:v>93.816372241080302</c:v>
                </c:pt>
                <c:pt idx="81">
                  <c:v>93.816242243569107</c:v>
                </c:pt>
                <c:pt idx="82">
                  <c:v>93.815706562255116</c:v>
                </c:pt>
                <c:pt idx="83">
                  <c:v>93.814779873964369</c:v>
                </c:pt>
                <c:pt idx="84">
                  <c:v>93.813476166175334</c:v>
                </c:pt>
                <c:pt idx="85">
                  <c:v>93.811808777012402</c:v>
                </c:pt>
                <c:pt idx="86">
                  <c:v>93.809790432486835</c:v>
                </c:pt>
                <c:pt idx="87">
                  <c:v>93.807433281203913</c:v>
                </c:pt>
                <c:pt idx="88">
                  <c:v>93.804748926734959</c:v>
                </c:pt>
                <c:pt idx="89">
                  <c:v>93.801748457835785</c:v>
                </c:pt>
                <c:pt idx="90">
                  <c:v>93.79844247667657</c:v>
                </c:pt>
                <c:pt idx="91">
                  <c:v>93.794841125234257</c:v>
                </c:pt>
                <c:pt idx="92">
                  <c:v>93.79095410998589</c:v>
                </c:pt>
                <c:pt idx="93">
                  <c:v>93.786790725028368</c:v>
                </c:pt>
                <c:pt idx="94">
                  <c:v>93.7823598737412</c:v>
                </c:pt>
                <c:pt idx="95">
                  <c:v>93.777670089097739</c:v>
                </c:pt>
                <c:pt idx="96">
                  <c:v>93.772729552722467</c:v>
                </c:pt>
                <c:pt idx="97">
                  <c:v>93.767546112783577</c:v>
                </c:pt>
                <c:pt idx="98">
                  <c:v>93.762127300803357</c:v>
                </c:pt>
                <c:pt idx="99">
                  <c:v>93.756480347461618</c:v>
                </c:pt>
                <c:pt idx="100">
                  <c:v>93.750612197462075</c:v>
                </c:pt>
                <c:pt idx="101">
                  <c:v>93.74452952352577</c:v>
                </c:pt>
                <c:pt idx="102">
                  <c:v>93.738238739570861</c:v>
                </c:pt>
                <c:pt idx="103">
                  <c:v>93.731746013133289</c:v>
                </c:pt>
                <c:pt idx="104">
                  <c:v>93.725057277078946</c:v>
                </c:pt>
                <c:pt idx="105">
                  <c:v>93.718178240654112</c:v>
                </c:pt>
                <c:pt idx="106">
                  <c:v>93.711114399917165</c:v>
                </c:pt>
                <c:pt idx="107">
                  <c:v>93.703871047591832</c:v>
                </c:pt>
                <c:pt idx="108">
                  <c:v>93.696453282378968</c:v>
                </c:pt>
                <c:pt idx="109">
                  <c:v>93.688866017761185</c:v>
                </c:pt>
                <c:pt idx="110">
                  <c:v>93.68111399033242</c:v>
                </c:pt>
                <c:pt idx="111">
                  <c:v>93.673201767681974</c:v>
                </c:pt>
                <c:pt idx="112">
                  <c:v>93.66513375586058</c:v>
                </c:pt>
                <c:pt idx="113">
                  <c:v>93.656914206454204</c:v>
                </c:pt>
                <c:pt idx="114">
                  <c:v>93.648547223289285</c:v>
                </c:pt>
                <c:pt idx="115">
                  <c:v>93.640036768791873</c:v>
                </c:pt>
                <c:pt idx="116">
                  <c:v>93.631386670020831</c:v>
                </c:pt>
                <c:pt idx="117">
                  <c:v>93.622600624395176</c:v>
                </c:pt>
                <c:pt idx="118">
                  <c:v>93.613682205132704</c:v>
                </c:pt>
                <c:pt idx="119">
                  <c:v>93.604634866417342</c:v>
                </c:pt>
                <c:pt idx="120">
                  <c:v>93.595461948310515</c:v>
                </c:pt>
                <c:pt idx="121">
                  <c:v>93.586166681421446</c:v>
                </c:pt>
                <c:pt idx="122">
                  <c:v>93.576752191349883</c:v>
                </c:pt>
                <c:pt idx="123">
                  <c:v>93.567221502914151</c:v>
                </c:pt>
                <c:pt idx="124">
                  <c:v>93.557577544176738</c:v>
                </c:pt>
                <c:pt idx="125">
                  <c:v>93.547823150278248</c:v>
                </c:pt>
                <c:pt idx="126">
                  <c:v>93.537961067090549</c:v>
                </c:pt>
                <c:pt idx="127">
                  <c:v>93.527993954698971</c:v>
                </c:pt>
                <c:pt idx="128">
                  <c:v>93.517924390722811</c:v>
                </c:pt>
                <c:pt idx="129">
                  <c:v>93.507754873482654</c:v>
                </c:pt>
                <c:pt idx="130">
                  <c:v>93.497487825022873</c:v>
                </c:pt>
                <c:pt idx="131">
                  <c:v>93.487125593997092</c:v>
                </c:pt>
                <c:pt idx="132">
                  <c:v>93.476670458423428</c:v>
                </c:pt>
                <c:pt idx="133">
                  <c:v>93.466124628316649</c:v>
                </c:pt>
                <c:pt idx="134">
                  <c:v>93.45549024820356</c:v>
                </c:pt>
                <c:pt idx="135">
                  <c:v>93.444769399527402</c:v>
                </c:pt>
                <c:pt idx="136">
                  <c:v>93.433964102947243</c:v>
                </c:pt>
                <c:pt idx="137">
                  <c:v>93.423076320537461</c:v>
                </c:pt>
                <c:pt idx="138">
                  <c:v>93.412107957892431</c:v>
                </c:pt>
                <c:pt idx="139">
                  <c:v>93.401060866141023</c:v>
                </c:pt>
                <c:pt idx="140">
                  <c:v>93.389936843875773</c:v>
                </c:pt>
                <c:pt idx="141">
                  <c:v>93.378737639000221</c:v>
                </c:pt>
                <c:pt idx="142">
                  <c:v>93.36746495049924</c:v>
                </c:pt>
                <c:pt idx="143">
                  <c:v>93.356120430135476</c:v>
                </c:pt>
                <c:pt idx="144">
                  <c:v>93.344705684075663</c:v>
                </c:pt>
                <c:pt idx="145">
                  <c:v>93.33322227445035</c:v>
                </c:pt>
                <c:pt idx="146">
                  <c:v>93.321671720849878</c:v>
                </c:pt>
                <c:pt idx="147">
                  <c:v>93.310055501759877</c:v>
                </c:pt>
                <c:pt idx="148">
                  <c:v>93.29837505593899</c:v>
                </c:pt>
                <c:pt idx="149">
                  <c:v>93.286631783741555</c:v>
                </c:pt>
                <c:pt idx="150">
                  <c:v>93.274827048387849</c:v>
                </c:pt>
              </c:numCache>
            </c:numRef>
          </c:yVal>
          <c:smooth val="0"/>
          <c:extLst>
            <c:ext xmlns:c16="http://schemas.microsoft.com/office/drawing/2014/chart" uri="{C3380CC4-5D6E-409C-BE32-E72D297353CC}">
              <c16:uniqueId val="{00000000-901A-4CE4-83F4-75906C9CC573}"/>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Eff_vs_IOUT!$AI$7:$AI$157</c:f>
              <c:numCache>
                <c:formatCode>General</c:formatCode>
                <c:ptCount val="151"/>
                <c:pt idx="0">
                  <c:v>0</c:v>
                </c:pt>
                <c:pt idx="1">
                  <c:v>6.9089962484580061E-2</c:v>
                </c:pt>
                <c:pt idx="2">
                  <c:v>0.13852572755899556</c:v>
                </c:pt>
                <c:pt idx="3">
                  <c:v>0.20818660682803392</c:v>
                </c:pt>
                <c:pt idx="4">
                  <c:v>0.27802953254288915</c:v>
                </c:pt>
                <c:pt idx="5">
                  <c:v>0.34802961392302034</c:v>
                </c:pt>
                <c:pt idx="6">
                  <c:v>0.41817005662101947</c:v>
                </c:pt>
                <c:pt idx="7">
                  <c:v>0.48843853147923966</c:v>
                </c:pt>
                <c:pt idx="8">
                  <c:v>0.55885046877828981</c:v>
                </c:pt>
                <c:pt idx="9">
                  <c:v>0.62948651061172767</c:v>
                </c:pt>
                <c:pt idx="10">
                  <c:v>0.70035355244516539</c:v>
                </c:pt>
                <c:pt idx="11">
                  <c:v>0.77145159427860344</c:v>
                </c:pt>
                <c:pt idx="12">
                  <c:v>0.84278063611204102</c:v>
                </c:pt>
                <c:pt idx="13">
                  <c:v>0.91434067794547891</c:v>
                </c:pt>
                <c:pt idx="14">
                  <c:v>0.98613171977891678</c:v>
                </c:pt>
                <c:pt idx="15">
                  <c:v>1.0581537616123546</c:v>
                </c:pt>
                <c:pt idx="16">
                  <c:v>1.1304068034457926</c:v>
                </c:pt>
                <c:pt idx="17">
                  <c:v>1.2028908452792304</c:v>
                </c:pt>
                <c:pt idx="18">
                  <c:v>1.2756058871126683</c:v>
                </c:pt>
                <c:pt idx="19">
                  <c:v>1.3485519289461063</c:v>
                </c:pt>
                <c:pt idx="20">
                  <c:v>1.4217289707795437</c:v>
                </c:pt>
                <c:pt idx="21">
                  <c:v>1.4951370126129817</c:v>
                </c:pt>
                <c:pt idx="22">
                  <c:v>1.5687760544464198</c:v>
                </c:pt>
                <c:pt idx="23">
                  <c:v>1.6426460962798572</c:v>
                </c:pt>
                <c:pt idx="24">
                  <c:v>1.7167471381132948</c:v>
                </c:pt>
                <c:pt idx="25">
                  <c:v>1.7910791799467329</c:v>
                </c:pt>
                <c:pt idx="26">
                  <c:v>1.8656422217801707</c:v>
                </c:pt>
                <c:pt idx="27">
                  <c:v>1.9404362636136088</c:v>
                </c:pt>
                <c:pt idx="28">
                  <c:v>2.0154613054470465</c:v>
                </c:pt>
                <c:pt idx="29">
                  <c:v>2.0907173472804841</c:v>
                </c:pt>
                <c:pt idx="30">
                  <c:v>2.166204389113922</c:v>
                </c:pt>
                <c:pt idx="31">
                  <c:v>2.2419224309473602</c:v>
                </c:pt>
                <c:pt idx="32">
                  <c:v>2.3178714727807979</c:v>
                </c:pt>
                <c:pt idx="33">
                  <c:v>2.3940515146142358</c:v>
                </c:pt>
                <c:pt idx="34">
                  <c:v>2.4704625564476737</c:v>
                </c:pt>
                <c:pt idx="35">
                  <c:v>2.5471045982811109</c:v>
                </c:pt>
                <c:pt idx="36">
                  <c:v>2.6239776401145494</c:v>
                </c:pt>
                <c:pt idx="37">
                  <c:v>2.7010816819479873</c:v>
                </c:pt>
                <c:pt idx="38">
                  <c:v>2.7784167237814255</c:v>
                </c:pt>
                <c:pt idx="39">
                  <c:v>2.8559827656148626</c:v>
                </c:pt>
                <c:pt idx="40">
                  <c:v>2.9337798074483001</c:v>
                </c:pt>
                <c:pt idx="41">
                  <c:v>3.0118078492817384</c:v>
                </c:pt>
                <c:pt idx="42">
                  <c:v>3.0900668911151761</c:v>
                </c:pt>
                <c:pt idx="43">
                  <c:v>3.1685569329486132</c:v>
                </c:pt>
                <c:pt idx="44">
                  <c:v>3.2472779747820519</c:v>
                </c:pt>
                <c:pt idx="45">
                  <c:v>3.3262300166154892</c:v>
                </c:pt>
                <c:pt idx="46">
                  <c:v>3.4054130584489273</c:v>
                </c:pt>
                <c:pt idx="47">
                  <c:v>3.4848271002823652</c:v>
                </c:pt>
                <c:pt idx="48">
                  <c:v>3.5644721421158025</c:v>
                </c:pt>
                <c:pt idx="49">
                  <c:v>3.6443481839492411</c:v>
                </c:pt>
                <c:pt idx="50">
                  <c:v>3.7244552257826786</c:v>
                </c:pt>
                <c:pt idx="51">
                  <c:v>3.804793267616116</c:v>
                </c:pt>
                <c:pt idx="52">
                  <c:v>3.8853623094495542</c:v>
                </c:pt>
                <c:pt idx="53">
                  <c:v>3.9661623512829922</c:v>
                </c:pt>
                <c:pt idx="54">
                  <c:v>4.0471933931164301</c:v>
                </c:pt>
                <c:pt idx="55">
                  <c:v>4.1284554349498679</c:v>
                </c:pt>
                <c:pt idx="56">
                  <c:v>4.209948476783306</c:v>
                </c:pt>
                <c:pt idx="57">
                  <c:v>4.2916725186167435</c:v>
                </c:pt>
                <c:pt idx="58">
                  <c:v>4.3736275604501813</c:v>
                </c:pt>
                <c:pt idx="59">
                  <c:v>4.4558136022836203</c:v>
                </c:pt>
                <c:pt idx="60">
                  <c:v>4.538230644117057</c:v>
                </c:pt>
                <c:pt idx="61">
                  <c:v>4.6208786859504949</c:v>
                </c:pt>
                <c:pt idx="62">
                  <c:v>4.7037577277839331</c:v>
                </c:pt>
                <c:pt idx="63">
                  <c:v>4.7868677696173698</c:v>
                </c:pt>
                <c:pt idx="64">
                  <c:v>4.8702088114508086</c:v>
                </c:pt>
                <c:pt idx="65">
                  <c:v>4.953780853284246</c:v>
                </c:pt>
                <c:pt idx="66">
                  <c:v>5.0375838951176846</c:v>
                </c:pt>
                <c:pt idx="67">
                  <c:v>5.1216179369511217</c:v>
                </c:pt>
                <c:pt idx="68">
                  <c:v>5.20588297878456</c:v>
                </c:pt>
                <c:pt idx="69">
                  <c:v>5.2903790206179977</c:v>
                </c:pt>
                <c:pt idx="70">
                  <c:v>5.3751060624514349</c:v>
                </c:pt>
                <c:pt idx="71">
                  <c:v>5.4600641042848741</c:v>
                </c:pt>
                <c:pt idx="72">
                  <c:v>5.5452531461183119</c:v>
                </c:pt>
                <c:pt idx="73">
                  <c:v>5.6306731879517491</c:v>
                </c:pt>
                <c:pt idx="74">
                  <c:v>5.7163242297851875</c:v>
                </c:pt>
                <c:pt idx="75">
                  <c:v>5.8022062716186245</c:v>
                </c:pt>
                <c:pt idx="76">
                  <c:v>5.8883193134520635</c:v>
                </c:pt>
                <c:pt idx="77">
                  <c:v>5.9746633552855002</c:v>
                </c:pt>
                <c:pt idx="78">
                  <c:v>6.061238397118939</c:v>
                </c:pt>
                <c:pt idx="79">
                  <c:v>6.1480444389523772</c:v>
                </c:pt>
                <c:pt idx="80">
                  <c:v>6.2350814807858139</c:v>
                </c:pt>
                <c:pt idx="81">
                  <c:v>6.3223495226192501</c:v>
                </c:pt>
                <c:pt idx="82">
                  <c:v>6.4098485644526892</c:v>
                </c:pt>
                <c:pt idx="83">
                  <c:v>6.4975786062861287</c:v>
                </c:pt>
                <c:pt idx="84">
                  <c:v>6.5855396481195658</c:v>
                </c:pt>
                <c:pt idx="85">
                  <c:v>6.6737316899530024</c:v>
                </c:pt>
                <c:pt idx="86">
                  <c:v>6.7621547317864392</c:v>
                </c:pt>
                <c:pt idx="87">
                  <c:v>6.8508087736198782</c:v>
                </c:pt>
                <c:pt idx="88">
                  <c:v>6.9396938154533174</c:v>
                </c:pt>
                <c:pt idx="89">
                  <c:v>7.0288098572867561</c:v>
                </c:pt>
                <c:pt idx="90">
                  <c:v>7.1181568991201907</c:v>
                </c:pt>
                <c:pt idx="91">
                  <c:v>7.2077349409536282</c:v>
                </c:pt>
                <c:pt idx="92">
                  <c:v>7.297543982787067</c:v>
                </c:pt>
                <c:pt idx="93">
                  <c:v>7.3875840246205069</c:v>
                </c:pt>
                <c:pt idx="94">
                  <c:v>7.4778550664539427</c:v>
                </c:pt>
                <c:pt idx="95">
                  <c:v>7.5683571082873815</c:v>
                </c:pt>
                <c:pt idx="96">
                  <c:v>7.659090150120818</c:v>
                </c:pt>
                <c:pt idx="97">
                  <c:v>7.7500541919542565</c:v>
                </c:pt>
                <c:pt idx="98">
                  <c:v>7.8412492337876953</c:v>
                </c:pt>
                <c:pt idx="99">
                  <c:v>7.9326752756211318</c:v>
                </c:pt>
                <c:pt idx="100">
                  <c:v>8.0243323174545704</c:v>
                </c:pt>
                <c:pt idx="101">
                  <c:v>8.1162203592880076</c:v>
                </c:pt>
                <c:pt idx="102">
                  <c:v>8.2083394011214459</c:v>
                </c:pt>
                <c:pt idx="103">
                  <c:v>8.3006894429548854</c:v>
                </c:pt>
                <c:pt idx="104">
                  <c:v>8.3932704847883208</c:v>
                </c:pt>
                <c:pt idx="105">
                  <c:v>8.4860825266217592</c:v>
                </c:pt>
                <c:pt idx="106">
                  <c:v>8.579125568455197</c:v>
                </c:pt>
                <c:pt idx="107">
                  <c:v>8.6723996102886343</c:v>
                </c:pt>
                <c:pt idx="108">
                  <c:v>8.7659046521220745</c:v>
                </c:pt>
                <c:pt idx="109">
                  <c:v>8.8596406939555106</c:v>
                </c:pt>
                <c:pt idx="110">
                  <c:v>8.9536077357889479</c:v>
                </c:pt>
                <c:pt idx="111">
                  <c:v>9.0478057776223864</c:v>
                </c:pt>
                <c:pt idx="112">
                  <c:v>9.1422348194558243</c:v>
                </c:pt>
                <c:pt idx="113">
                  <c:v>9.2368948612892634</c:v>
                </c:pt>
                <c:pt idx="114">
                  <c:v>9.3317859031227002</c:v>
                </c:pt>
                <c:pt idx="115">
                  <c:v>9.4269079449561364</c:v>
                </c:pt>
                <c:pt idx="116">
                  <c:v>9.5222609867895756</c:v>
                </c:pt>
                <c:pt idx="117">
                  <c:v>9.6178450286230124</c:v>
                </c:pt>
                <c:pt idx="118">
                  <c:v>9.7136600704564522</c:v>
                </c:pt>
                <c:pt idx="119">
                  <c:v>9.8097061122898879</c:v>
                </c:pt>
                <c:pt idx="120">
                  <c:v>9.9059831541233265</c:v>
                </c:pt>
                <c:pt idx="121">
                  <c:v>10.002491195956765</c:v>
                </c:pt>
                <c:pt idx="122">
                  <c:v>10.099230237790202</c:v>
                </c:pt>
                <c:pt idx="123">
                  <c:v>10.196200279623641</c:v>
                </c:pt>
                <c:pt idx="124">
                  <c:v>10.293401321457079</c:v>
                </c:pt>
                <c:pt idx="125">
                  <c:v>10.390833363290515</c:v>
                </c:pt>
                <c:pt idx="126">
                  <c:v>10.488496405123954</c:v>
                </c:pt>
                <c:pt idx="127">
                  <c:v>10.586390446957394</c:v>
                </c:pt>
                <c:pt idx="128">
                  <c:v>10.684515488790831</c:v>
                </c:pt>
                <c:pt idx="129">
                  <c:v>10.782871530624268</c:v>
                </c:pt>
                <c:pt idx="130">
                  <c:v>10.881458572457705</c:v>
                </c:pt>
                <c:pt idx="131">
                  <c:v>10.980276614291142</c:v>
                </c:pt>
                <c:pt idx="132">
                  <c:v>11.079325656124583</c:v>
                </c:pt>
                <c:pt idx="133">
                  <c:v>11.17860569795802</c:v>
                </c:pt>
                <c:pt idx="134">
                  <c:v>11.278116739791457</c:v>
                </c:pt>
                <c:pt idx="135">
                  <c:v>11.377858781624894</c:v>
                </c:pt>
                <c:pt idx="136">
                  <c:v>11.477831823458333</c:v>
                </c:pt>
                <c:pt idx="137">
                  <c:v>11.578035865291771</c:v>
                </c:pt>
                <c:pt idx="138">
                  <c:v>11.678470907125208</c:v>
                </c:pt>
                <c:pt idx="139">
                  <c:v>11.779136948958646</c:v>
                </c:pt>
                <c:pt idx="140">
                  <c:v>11.880033990792082</c:v>
                </c:pt>
                <c:pt idx="141">
                  <c:v>11.981162032625523</c:v>
                </c:pt>
                <c:pt idx="142">
                  <c:v>12.082521074458962</c:v>
                </c:pt>
                <c:pt idx="143">
                  <c:v>12.184111116292398</c:v>
                </c:pt>
                <c:pt idx="144">
                  <c:v>12.285932158125837</c:v>
                </c:pt>
                <c:pt idx="145">
                  <c:v>12.387984199959272</c:v>
                </c:pt>
                <c:pt idx="146">
                  <c:v>12.490267241792711</c:v>
                </c:pt>
                <c:pt idx="147">
                  <c:v>12.592781283626149</c:v>
                </c:pt>
                <c:pt idx="148">
                  <c:v>12.695526325459587</c:v>
                </c:pt>
                <c:pt idx="149">
                  <c:v>12.798502367293025</c:v>
                </c:pt>
                <c:pt idx="150">
                  <c:v>12.901709409126463</c:v>
                </c:pt>
              </c:numCache>
            </c:numRef>
          </c:yVal>
          <c:smooth val="1"/>
          <c:extLst>
            <c:ext xmlns:c16="http://schemas.microsoft.com/office/drawing/2014/chart" uri="{C3380CC4-5D6E-409C-BE32-E72D297353CC}">
              <c16:uniqueId val="{00000001-901A-4CE4-83F4-75906C9CC573}"/>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Eff_vs_IOUT!$AO$7:$AO$157</c:f>
              <c:numCache>
                <c:formatCode>General</c:formatCode>
                <c:ptCount val="151"/>
                <c:pt idx="0">
                  <c:v>0</c:v>
                </c:pt>
                <c:pt idx="1">
                  <c:v>1.4697144264058064</c:v>
                </c:pt>
                <c:pt idx="2">
                  <c:v>1.4833066970241562</c:v>
                </c:pt>
                <c:pt idx="3">
                  <c:v>1.4942733406241235</c:v>
                </c:pt>
                <c:pt idx="4">
                  <c:v>1.5039682180207503</c:v>
                </c:pt>
                <c:pt idx="5">
                  <c:v>1.5129047906683504</c:v>
                </c:pt>
                <c:pt idx="6">
                  <c:v>1.5213410210743727</c:v>
                </c:pt>
                <c:pt idx="7">
                  <c:v>1.5294270140741715</c:v>
                </c:pt>
                <c:pt idx="8">
                  <c:v>1.537369702623907</c:v>
                </c:pt>
                <c:pt idx="9">
                  <c:v>1.5455877026239071</c:v>
                </c:pt>
                <c:pt idx="10">
                  <c:v>1.5541137026239071</c:v>
                </c:pt>
                <c:pt idx="11">
                  <c:v>1.5629477026239071</c:v>
                </c:pt>
                <c:pt idx="12">
                  <c:v>1.5720897026239069</c:v>
                </c:pt>
                <c:pt idx="13">
                  <c:v>1.5815397026239071</c:v>
                </c:pt>
                <c:pt idx="14">
                  <c:v>1.591297702623907</c:v>
                </c:pt>
                <c:pt idx="15">
                  <c:v>1.6013637026239071</c:v>
                </c:pt>
                <c:pt idx="16">
                  <c:v>1.6117377026239073</c:v>
                </c:pt>
                <c:pt idx="17">
                  <c:v>1.6224197026239069</c:v>
                </c:pt>
                <c:pt idx="18">
                  <c:v>1.6334097026239069</c:v>
                </c:pt>
                <c:pt idx="19">
                  <c:v>1.644707702623907</c:v>
                </c:pt>
                <c:pt idx="20">
                  <c:v>1.656313702623907</c:v>
                </c:pt>
                <c:pt idx="21">
                  <c:v>1.668227702623907</c:v>
                </c:pt>
                <c:pt idx="22">
                  <c:v>1.6804497026239069</c:v>
                </c:pt>
                <c:pt idx="23">
                  <c:v>1.6929797026239071</c:v>
                </c:pt>
                <c:pt idx="24">
                  <c:v>1.7058177026239072</c:v>
                </c:pt>
                <c:pt idx="25">
                  <c:v>1.7189637026239069</c:v>
                </c:pt>
                <c:pt idx="26">
                  <c:v>1.7324177026239069</c:v>
                </c:pt>
                <c:pt idx="27">
                  <c:v>1.746179702623907</c:v>
                </c:pt>
                <c:pt idx="28">
                  <c:v>1.760249702623907</c:v>
                </c:pt>
                <c:pt idx="29">
                  <c:v>1.7746277026239072</c:v>
                </c:pt>
                <c:pt idx="30">
                  <c:v>1.789313702623907</c:v>
                </c:pt>
                <c:pt idx="31">
                  <c:v>1.8043077026239069</c:v>
                </c:pt>
                <c:pt idx="32">
                  <c:v>1.8196097026239071</c:v>
                </c:pt>
                <c:pt idx="33">
                  <c:v>1.8352197026239072</c:v>
                </c:pt>
                <c:pt idx="34">
                  <c:v>1.8511377026239071</c:v>
                </c:pt>
                <c:pt idx="35">
                  <c:v>1.8673637026239069</c:v>
                </c:pt>
                <c:pt idx="36">
                  <c:v>1.883897702623907</c:v>
                </c:pt>
                <c:pt idx="37">
                  <c:v>1.900739702623907</c:v>
                </c:pt>
                <c:pt idx="38">
                  <c:v>1.9178897026239072</c:v>
                </c:pt>
                <c:pt idx="39">
                  <c:v>1.935347702623907</c:v>
                </c:pt>
                <c:pt idx="40">
                  <c:v>1.9531137026239069</c:v>
                </c:pt>
                <c:pt idx="41">
                  <c:v>1.9711877026239073</c:v>
                </c:pt>
                <c:pt idx="42">
                  <c:v>1.989569702623907</c:v>
                </c:pt>
                <c:pt idx="43">
                  <c:v>2.0082597026239069</c:v>
                </c:pt>
                <c:pt idx="44">
                  <c:v>2.0272577026239071</c:v>
                </c:pt>
                <c:pt idx="45">
                  <c:v>2.046563702623907</c:v>
                </c:pt>
                <c:pt idx="46">
                  <c:v>2.0661777026239072</c:v>
                </c:pt>
                <c:pt idx="47">
                  <c:v>2.086099702623907</c:v>
                </c:pt>
                <c:pt idx="48">
                  <c:v>2.1063297026239072</c:v>
                </c:pt>
                <c:pt idx="49">
                  <c:v>2.1268677026239073</c:v>
                </c:pt>
                <c:pt idx="50">
                  <c:v>2.147713702623907</c:v>
                </c:pt>
                <c:pt idx="51">
                  <c:v>2.1688677026239072</c:v>
                </c:pt>
                <c:pt idx="52">
                  <c:v>2.1903297026239068</c:v>
                </c:pt>
                <c:pt idx="53">
                  <c:v>2.2120997026239069</c:v>
                </c:pt>
                <c:pt idx="54">
                  <c:v>2.2341777026239074</c:v>
                </c:pt>
                <c:pt idx="55">
                  <c:v>2.2565637026239074</c:v>
                </c:pt>
                <c:pt idx="56">
                  <c:v>2.2792577026239074</c:v>
                </c:pt>
                <c:pt idx="57">
                  <c:v>2.3022597026239073</c:v>
                </c:pt>
                <c:pt idx="58">
                  <c:v>2.3255697026239073</c:v>
                </c:pt>
                <c:pt idx="59">
                  <c:v>2.3491877026239076</c:v>
                </c:pt>
                <c:pt idx="60">
                  <c:v>2.3731137026239071</c:v>
                </c:pt>
                <c:pt idx="61">
                  <c:v>2.3973477026239074</c:v>
                </c:pt>
                <c:pt idx="62">
                  <c:v>2.4218897026239072</c:v>
                </c:pt>
                <c:pt idx="63">
                  <c:v>2.4467397026239071</c:v>
                </c:pt>
                <c:pt idx="64">
                  <c:v>2.4718977026239077</c:v>
                </c:pt>
                <c:pt idx="65">
                  <c:v>2.4973637026239071</c:v>
                </c:pt>
                <c:pt idx="66">
                  <c:v>2.5231377026239077</c:v>
                </c:pt>
                <c:pt idx="67">
                  <c:v>2.5492197026239074</c:v>
                </c:pt>
                <c:pt idx="68">
                  <c:v>2.5756097026239071</c:v>
                </c:pt>
                <c:pt idx="69">
                  <c:v>2.6023077026239072</c:v>
                </c:pt>
                <c:pt idx="70">
                  <c:v>2.6293137026239073</c:v>
                </c:pt>
                <c:pt idx="71">
                  <c:v>2.6566277026239073</c:v>
                </c:pt>
                <c:pt idx="72">
                  <c:v>2.6842497026239074</c:v>
                </c:pt>
                <c:pt idx="73">
                  <c:v>2.7121797026239074</c:v>
                </c:pt>
                <c:pt idx="74">
                  <c:v>2.7404177026239074</c:v>
                </c:pt>
                <c:pt idx="75">
                  <c:v>2.7689637026239073</c:v>
                </c:pt>
                <c:pt idx="76">
                  <c:v>2.7978177026239073</c:v>
                </c:pt>
                <c:pt idx="77">
                  <c:v>2.8269797026239076</c:v>
                </c:pt>
                <c:pt idx="78">
                  <c:v>2.8564497026239075</c:v>
                </c:pt>
                <c:pt idx="79">
                  <c:v>2.8862277026239074</c:v>
                </c:pt>
                <c:pt idx="80">
                  <c:v>2.9163137026239077</c:v>
                </c:pt>
                <c:pt idx="81">
                  <c:v>2.946707702623907</c:v>
                </c:pt>
                <c:pt idx="82">
                  <c:v>2.9774097026239073</c:v>
                </c:pt>
                <c:pt idx="83">
                  <c:v>3.0084197026239075</c:v>
                </c:pt>
                <c:pt idx="84">
                  <c:v>3.0397377026239076</c:v>
                </c:pt>
                <c:pt idx="85">
                  <c:v>3.0713637026239073</c:v>
                </c:pt>
                <c:pt idx="86">
                  <c:v>3.103297702623907</c:v>
                </c:pt>
                <c:pt idx="87">
                  <c:v>3.1355397026239067</c:v>
                </c:pt>
                <c:pt idx="88">
                  <c:v>3.1680897026239072</c:v>
                </c:pt>
                <c:pt idx="89">
                  <c:v>3.2009477026239077</c:v>
                </c:pt>
                <c:pt idx="90">
                  <c:v>3.2341137026239073</c:v>
                </c:pt>
                <c:pt idx="91">
                  <c:v>3.2675877026239069</c:v>
                </c:pt>
                <c:pt idx="92">
                  <c:v>3.3013697026239068</c:v>
                </c:pt>
                <c:pt idx="93">
                  <c:v>3.3354597026239077</c:v>
                </c:pt>
                <c:pt idx="94">
                  <c:v>3.3698577026239067</c:v>
                </c:pt>
                <c:pt idx="95">
                  <c:v>3.4045637026239071</c:v>
                </c:pt>
                <c:pt idx="96">
                  <c:v>3.4395777026239074</c:v>
                </c:pt>
                <c:pt idx="97">
                  <c:v>3.4748997026239072</c:v>
                </c:pt>
                <c:pt idx="98">
                  <c:v>3.5105297026239071</c:v>
                </c:pt>
                <c:pt idx="99">
                  <c:v>3.5464677026239069</c:v>
                </c:pt>
                <c:pt idx="100">
                  <c:v>3.5827137026239071</c:v>
                </c:pt>
                <c:pt idx="101">
                  <c:v>3.6192677026239068</c:v>
                </c:pt>
                <c:pt idx="102">
                  <c:v>3.6561297026239075</c:v>
                </c:pt>
                <c:pt idx="103">
                  <c:v>3.6932997026239072</c:v>
                </c:pt>
                <c:pt idx="104">
                  <c:v>3.7307777026239068</c:v>
                </c:pt>
                <c:pt idx="105">
                  <c:v>3.7685637026239069</c:v>
                </c:pt>
                <c:pt idx="106">
                  <c:v>3.8066577026239066</c:v>
                </c:pt>
                <c:pt idx="107">
                  <c:v>3.8450597026239071</c:v>
                </c:pt>
                <c:pt idx="108">
                  <c:v>3.8837697026239066</c:v>
                </c:pt>
                <c:pt idx="109">
                  <c:v>3.9227877026239071</c:v>
                </c:pt>
                <c:pt idx="110">
                  <c:v>3.9621137026239066</c:v>
                </c:pt>
                <c:pt idx="111">
                  <c:v>4.0017477026239074</c:v>
                </c:pt>
                <c:pt idx="112">
                  <c:v>4.0416897026239074</c:v>
                </c:pt>
                <c:pt idx="113">
                  <c:v>4.0819397026239077</c:v>
                </c:pt>
                <c:pt idx="114">
                  <c:v>4.1224977026239058</c:v>
                </c:pt>
                <c:pt idx="115">
                  <c:v>4.163363702623907</c:v>
                </c:pt>
                <c:pt idx="116">
                  <c:v>4.2045377026239077</c:v>
                </c:pt>
                <c:pt idx="117">
                  <c:v>4.2460197026239079</c:v>
                </c:pt>
                <c:pt idx="118">
                  <c:v>4.2878097026239068</c:v>
                </c:pt>
                <c:pt idx="119">
                  <c:v>4.329907702623907</c:v>
                </c:pt>
                <c:pt idx="120">
                  <c:v>4.3723137026239076</c:v>
                </c:pt>
                <c:pt idx="121">
                  <c:v>4.415027702623906</c:v>
                </c:pt>
                <c:pt idx="122">
                  <c:v>4.4580497026239074</c:v>
                </c:pt>
                <c:pt idx="123">
                  <c:v>4.5013797026239066</c:v>
                </c:pt>
                <c:pt idx="124">
                  <c:v>4.5450177026239071</c:v>
                </c:pt>
                <c:pt idx="125">
                  <c:v>4.5889637026239063</c:v>
                </c:pt>
                <c:pt idx="126">
                  <c:v>4.6332177026239068</c:v>
                </c:pt>
                <c:pt idx="127">
                  <c:v>4.6777797026239076</c:v>
                </c:pt>
                <c:pt idx="128">
                  <c:v>4.7226497026239072</c:v>
                </c:pt>
                <c:pt idx="129">
                  <c:v>4.7678277026239071</c:v>
                </c:pt>
                <c:pt idx="130">
                  <c:v>4.8133137026239066</c:v>
                </c:pt>
                <c:pt idx="131">
                  <c:v>4.8591077026239073</c:v>
                </c:pt>
                <c:pt idx="132">
                  <c:v>4.9052097026239077</c:v>
                </c:pt>
                <c:pt idx="133">
                  <c:v>4.9516197026239075</c:v>
                </c:pt>
                <c:pt idx="134">
                  <c:v>4.9983377026239069</c:v>
                </c:pt>
                <c:pt idx="135">
                  <c:v>5.0453637026239067</c:v>
                </c:pt>
                <c:pt idx="136">
                  <c:v>5.0926977026239069</c:v>
                </c:pt>
                <c:pt idx="137">
                  <c:v>5.1403397026239084</c:v>
                </c:pt>
                <c:pt idx="138">
                  <c:v>5.1882897026239059</c:v>
                </c:pt>
                <c:pt idx="139">
                  <c:v>5.2365477026239082</c:v>
                </c:pt>
                <c:pt idx="140">
                  <c:v>5.2851137026239066</c:v>
                </c:pt>
                <c:pt idx="141">
                  <c:v>5.3339877026239062</c:v>
                </c:pt>
                <c:pt idx="142">
                  <c:v>5.383169702623908</c:v>
                </c:pt>
                <c:pt idx="143">
                  <c:v>5.4326597026239067</c:v>
                </c:pt>
                <c:pt idx="144">
                  <c:v>5.4824577026239076</c:v>
                </c:pt>
                <c:pt idx="145">
                  <c:v>5.5325637026239063</c:v>
                </c:pt>
                <c:pt idx="146">
                  <c:v>5.582977702623908</c:v>
                </c:pt>
                <c:pt idx="147">
                  <c:v>5.6336997026239075</c:v>
                </c:pt>
                <c:pt idx="148">
                  <c:v>5.6847297026239074</c:v>
                </c:pt>
                <c:pt idx="149">
                  <c:v>5.7360677026239077</c:v>
                </c:pt>
                <c:pt idx="150">
                  <c:v>5.7877137026239058</c:v>
                </c:pt>
              </c:numCache>
            </c:numRef>
          </c:yVal>
          <c:smooth val="1"/>
          <c:extLst>
            <c:ext xmlns:c16="http://schemas.microsoft.com/office/drawing/2014/chart" uri="{C3380CC4-5D6E-409C-BE32-E72D297353CC}">
              <c16:uniqueId val="{00000002-901A-4CE4-83F4-75906C9CC573}"/>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Eff_vs_IOUT!$AP$7:$AP$157</c:f>
              <c:numCache>
                <c:formatCode>General</c:formatCode>
                <c:ptCount val="151"/>
                <c:pt idx="0">
                  <c:v>0</c:v>
                </c:pt>
                <c:pt idx="1">
                  <c:v>1.660195771588399E-4</c:v>
                </c:pt>
                <c:pt idx="2">
                  <c:v>4.6957427527495593E-4</c:v>
                </c:pt>
                <c:pt idx="3">
                  <c:v>8.6266302807063691E-4</c:v>
                </c:pt>
                <c:pt idx="4">
                  <c:v>1.328156617270719E-3</c:v>
                </c:pt>
                <c:pt idx="5">
                  <c:v>1.8561553006146883E-3</c:v>
                </c:pt>
                <c:pt idx="6">
                  <c:v>2.439979508110673E-3</c:v>
                </c:pt>
                <c:pt idx="7">
                  <c:v>3.0747255975127272E-3</c:v>
                </c:pt>
                <c:pt idx="8">
                  <c:v>3.7665306122448977E-3</c:v>
                </c:pt>
                <c:pt idx="9">
                  <c:v>4.547468112244899E-3</c:v>
                </c:pt>
                <c:pt idx="10">
                  <c:v>5.4202806122448976E-3</c:v>
                </c:pt>
                <c:pt idx="11">
                  <c:v>6.384968112244897E-3</c:v>
                </c:pt>
                <c:pt idx="12">
                  <c:v>7.441530612244898E-3</c:v>
                </c:pt>
                <c:pt idx="13">
                  <c:v>8.5899681122448973E-3</c:v>
                </c:pt>
                <c:pt idx="14">
                  <c:v>9.8302806122448991E-3</c:v>
                </c:pt>
                <c:pt idx="15">
                  <c:v>1.1162468112244899E-2</c:v>
                </c:pt>
                <c:pt idx="16">
                  <c:v>1.2586530612244903E-2</c:v>
                </c:pt>
                <c:pt idx="17">
                  <c:v>1.4102468112244901E-2</c:v>
                </c:pt>
                <c:pt idx="18">
                  <c:v>1.5710280612244908E-2</c:v>
                </c:pt>
                <c:pt idx="19">
                  <c:v>1.7409968112244906E-2</c:v>
                </c:pt>
                <c:pt idx="20">
                  <c:v>1.9201530612244899E-2</c:v>
                </c:pt>
                <c:pt idx="21">
                  <c:v>2.1084968112244903E-2</c:v>
                </c:pt>
                <c:pt idx="22">
                  <c:v>2.3060280612244903E-2</c:v>
                </c:pt>
                <c:pt idx="23">
                  <c:v>2.5127468112244904E-2</c:v>
                </c:pt>
                <c:pt idx="24">
                  <c:v>2.7286530612244897E-2</c:v>
                </c:pt>
                <c:pt idx="25">
                  <c:v>2.9537468112244898E-2</c:v>
                </c:pt>
                <c:pt idx="26">
                  <c:v>3.1880280612244891E-2</c:v>
                </c:pt>
                <c:pt idx="27">
                  <c:v>3.4314968112244909E-2</c:v>
                </c:pt>
                <c:pt idx="28">
                  <c:v>3.6841530612244898E-2</c:v>
                </c:pt>
                <c:pt idx="29">
                  <c:v>3.9459968112244906E-2</c:v>
                </c:pt>
                <c:pt idx="30">
                  <c:v>4.2170280612244898E-2</c:v>
                </c:pt>
                <c:pt idx="31">
                  <c:v>4.4972468112244909E-2</c:v>
                </c:pt>
                <c:pt idx="32">
                  <c:v>4.7866530612244912E-2</c:v>
                </c:pt>
                <c:pt idx="33">
                  <c:v>5.0852468112244913E-2</c:v>
                </c:pt>
                <c:pt idx="34">
                  <c:v>5.3930280612244905E-2</c:v>
                </c:pt>
                <c:pt idx="35">
                  <c:v>5.7099968112244902E-2</c:v>
                </c:pt>
                <c:pt idx="36">
                  <c:v>6.0361530612244911E-2</c:v>
                </c:pt>
                <c:pt idx="37">
                  <c:v>6.3714968112244905E-2</c:v>
                </c:pt>
                <c:pt idx="38">
                  <c:v>6.7160280612244924E-2</c:v>
                </c:pt>
                <c:pt idx="39">
                  <c:v>7.0697468112244907E-2</c:v>
                </c:pt>
                <c:pt idx="40">
                  <c:v>7.4326530612244909E-2</c:v>
                </c:pt>
                <c:pt idx="41">
                  <c:v>7.804746811224493E-2</c:v>
                </c:pt>
                <c:pt idx="42">
                  <c:v>8.1860280612244915E-2</c:v>
                </c:pt>
                <c:pt idx="43">
                  <c:v>8.5764968112244877E-2</c:v>
                </c:pt>
                <c:pt idx="44">
                  <c:v>8.9761530612244914E-2</c:v>
                </c:pt>
                <c:pt idx="45">
                  <c:v>9.38499681122449E-2</c:v>
                </c:pt>
                <c:pt idx="46">
                  <c:v>9.8030280612244933E-2</c:v>
                </c:pt>
                <c:pt idx="47">
                  <c:v>0.10230246811224492</c:v>
                </c:pt>
                <c:pt idx="48">
                  <c:v>0.10666653061224493</c:v>
                </c:pt>
                <c:pt idx="49">
                  <c:v>0.11112246811224492</c:v>
                </c:pt>
                <c:pt idx="50">
                  <c:v>0.11567028061224491</c:v>
                </c:pt>
                <c:pt idx="51">
                  <c:v>0.12030996811224492</c:v>
                </c:pt>
                <c:pt idx="52">
                  <c:v>0.12504153061224488</c:v>
                </c:pt>
                <c:pt idx="53">
                  <c:v>0.12986496811224488</c:v>
                </c:pt>
                <c:pt idx="54">
                  <c:v>0.13478028061224495</c:v>
                </c:pt>
                <c:pt idx="55">
                  <c:v>0.13978746811224491</c:v>
                </c:pt>
                <c:pt idx="56">
                  <c:v>0.14488653061224496</c:v>
                </c:pt>
                <c:pt idx="57">
                  <c:v>0.1500774681122449</c:v>
                </c:pt>
                <c:pt idx="58">
                  <c:v>0.15536028061224488</c:v>
                </c:pt>
                <c:pt idx="59">
                  <c:v>0.16073496811224494</c:v>
                </c:pt>
                <c:pt idx="60">
                  <c:v>0.16620153061224491</c:v>
                </c:pt>
                <c:pt idx="61">
                  <c:v>0.17175996811224498</c:v>
                </c:pt>
                <c:pt idx="62">
                  <c:v>0.17741028061224492</c:v>
                </c:pt>
                <c:pt idx="63">
                  <c:v>0.18315246811224495</c:v>
                </c:pt>
                <c:pt idx="64">
                  <c:v>0.18898653061224494</c:v>
                </c:pt>
                <c:pt idx="65">
                  <c:v>0.19491246811224489</c:v>
                </c:pt>
                <c:pt idx="66">
                  <c:v>0.20093028061224497</c:v>
                </c:pt>
                <c:pt idx="67">
                  <c:v>0.20703996811224493</c:v>
                </c:pt>
                <c:pt idx="68">
                  <c:v>0.21324153061224491</c:v>
                </c:pt>
                <c:pt idx="69">
                  <c:v>0.21953496811224496</c:v>
                </c:pt>
                <c:pt idx="70">
                  <c:v>0.22592028061224492</c:v>
                </c:pt>
                <c:pt idx="71">
                  <c:v>0.23239746811224501</c:v>
                </c:pt>
                <c:pt idx="72">
                  <c:v>0.23896653061224499</c:v>
                </c:pt>
                <c:pt idx="73">
                  <c:v>0.2456274681122449</c:v>
                </c:pt>
                <c:pt idx="74">
                  <c:v>0.25238028061224488</c:v>
                </c:pt>
                <c:pt idx="75">
                  <c:v>0.25922496811224494</c:v>
                </c:pt>
                <c:pt idx="76">
                  <c:v>0.26616153061224501</c:v>
                </c:pt>
                <c:pt idx="77">
                  <c:v>0.27318996811224489</c:v>
                </c:pt>
                <c:pt idx="78">
                  <c:v>0.28031028061224494</c:v>
                </c:pt>
                <c:pt idx="79">
                  <c:v>0.28752246811224497</c:v>
                </c:pt>
                <c:pt idx="80">
                  <c:v>0.2948265306122449</c:v>
                </c:pt>
                <c:pt idx="81">
                  <c:v>0.3022224681122449</c:v>
                </c:pt>
                <c:pt idx="82">
                  <c:v>0.30971028061224493</c:v>
                </c:pt>
                <c:pt idx="83">
                  <c:v>0.31728996811224491</c:v>
                </c:pt>
                <c:pt idx="84">
                  <c:v>0.32496153061224492</c:v>
                </c:pt>
                <c:pt idx="85">
                  <c:v>0.33272496811224489</c:v>
                </c:pt>
                <c:pt idx="86">
                  <c:v>0.34058028061224482</c:v>
                </c:pt>
                <c:pt idx="87">
                  <c:v>0.34852746811224494</c:v>
                </c:pt>
                <c:pt idx="88">
                  <c:v>0.35656653061224491</c:v>
                </c:pt>
                <c:pt idx="89">
                  <c:v>0.36469746811224496</c:v>
                </c:pt>
                <c:pt idx="90">
                  <c:v>0.37292028061224491</c:v>
                </c:pt>
                <c:pt idx="91">
                  <c:v>0.38123496811224483</c:v>
                </c:pt>
                <c:pt idx="92">
                  <c:v>0.38964153061224494</c:v>
                </c:pt>
                <c:pt idx="93">
                  <c:v>0.39813996811224489</c:v>
                </c:pt>
                <c:pt idx="94">
                  <c:v>0.40673028061224475</c:v>
                </c:pt>
                <c:pt idx="95">
                  <c:v>0.41541246811224491</c:v>
                </c:pt>
                <c:pt idx="96">
                  <c:v>0.42418653061224482</c:v>
                </c:pt>
                <c:pt idx="97">
                  <c:v>0.43305246811224507</c:v>
                </c:pt>
                <c:pt idx="98">
                  <c:v>0.44201028061224495</c:v>
                </c:pt>
                <c:pt idx="99">
                  <c:v>0.45105996811224497</c:v>
                </c:pt>
                <c:pt idx="100">
                  <c:v>0.46020153061224478</c:v>
                </c:pt>
                <c:pt idx="101">
                  <c:v>0.46943496811224489</c:v>
                </c:pt>
                <c:pt idx="102">
                  <c:v>0.47876028061224496</c:v>
                </c:pt>
                <c:pt idx="103">
                  <c:v>0.48817746811224505</c:v>
                </c:pt>
                <c:pt idx="104">
                  <c:v>0.49768653061224472</c:v>
                </c:pt>
                <c:pt idx="105">
                  <c:v>0.5072874681122449</c:v>
                </c:pt>
                <c:pt idx="106">
                  <c:v>0.51698028061224488</c:v>
                </c:pt>
                <c:pt idx="107">
                  <c:v>0.52676496811224505</c:v>
                </c:pt>
                <c:pt idx="108">
                  <c:v>0.53664153061224507</c:v>
                </c:pt>
                <c:pt idx="109">
                  <c:v>0.54660996811224494</c:v>
                </c:pt>
                <c:pt idx="110">
                  <c:v>0.55667028061224488</c:v>
                </c:pt>
                <c:pt idx="111">
                  <c:v>0.56682246811224501</c:v>
                </c:pt>
                <c:pt idx="112">
                  <c:v>0.577066530612245</c:v>
                </c:pt>
                <c:pt idx="113">
                  <c:v>0.58740246811224506</c:v>
                </c:pt>
                <c:pt idx="114">
                  <c:v>0.59783028061224497</c:v>
                </c:pt>
                <c:pt idx="115">
                  <c:v>0.60834996811224484</c:v>
                </c:pt>
                <c:pt idx="116">
                  <c:v>0.6189615306122449</c:v>
                </c:pt>
                <c:pt idx="117">
                  <c:v>0.62966496811224504</c:v>
                </c:pt>
                <c:pt idx="118">
                  <c:v>0.64046028061224503</c:v>
                </c:pt>
                <c:pt idx="119">
                  <c:v>0.65134746811224487</c:v>
                </c:pt>
                <c:pt idx="120">
                  <c:v>0.662326530612245</c:v>
                </c:pt>
                <c:pt idx="121">
                  <c:v>0.67339746811224499</c:v>
                </c:pt>
                <c:pt idx="122">
                  <c:v>0.68456028061224528</c:v>
                </c:pt>
                <c:pt idx="123">
                  <c:v>0.69581496811224508</c:v>
                </c:pt>
                <c:pt idx="124">
                  <c:v>0.70716153061224518</c:v>
                </c:pt>
                <c:pt idx="125">
                  <c:v>0.71859996811224491</c:v>
                </c:pt>
                <c:pt idx="126">
                  <c:v>0.73013028061224494</c:v>
                </c:pt>
                <c:pt idx="127">
                  <c:v>0.74175246811224538</c:v>
                </c:pt>
                <c:pt idx="128">
                  <c:v>0.75346653061224511</c:v>
                </c:pt>
                <c:pt idx="129">
                  <c:v>0.76527246811224503</c:v>
                </c:pt>
                <c:pt idx="130">
                  <c:v>0.77717028061224491</c:v>
                </c:pt>
                <c:pt idx="131">
                  <c:v>0.78915996811224487</c:v>
                </c:pt>
                <c:pt idx="132">
                  <c:v>0.80124153061224523</c:v>
                </c:pt>
                <c:pt idx="133">
                  <c:v>0.81341496811224512</c:v>
                </c:pt>
                <c:pt idx="134">
                  <c:v>0.82568028061224508</c:v>
                </c:pt>
                <c:pt idx="135">
                  <c:v>0.83803746811224489</c:v>
                </c:pt>
                <c:pt idx="136">
                  <c:v>0.85048653061224511</c:v>
                </c:pt>
                <c:pt idx="137">
                  <c:v>0.8630274681122454</c:v>
                </c:pt>
                <c:pt idx="138">
                  <c:v>0.87566028061224499</c:v>
                </c:pt>
                <c:pt idx="139">
                  <c:v>0.88838496811224499</c:v>
                </c:pt>
                <c:pt idx="140">
                  <c:v>0.90120153061224506</c:v>
                </c:pt>
                <c:pt idx="141">
                  <c:v>0.91410996811224499</c:v>
                </c:pt>
                <c:pt idx="142">
                  <c:v>0.92711028061224532</c:v>
                </c:pt>
                <c:pt idx="143">
                  <c:v>0.94020246811224506</c:v>
                </c:pt>
                <c:pt idx="144">
                  <c:v>0.95338653061224499</c:v>
                </c:pt>
                <c:pt idx="145">
                  <c:v>0.9666624681122451</c:v>
                </c:pt>
                <c:pt idx="146">
                  <c:v>0.98003028061224495</c:v>
                </c:pt>
                <c:pt idx="147">
                  <c:v>0.99348996811224544</c:v>
                </c:pt>
                <c:pt idx="148">
                  <c:v>1.0070415306122449</c:v>
                </c:pt>
                <c:pt idx="149">
                  <c:v>1.020684968112245</c:v>
                </c:pt>
                <c:pt idx="150">
                  <c:v>1.0344202806122451</c:v>
                </c:pt>
              </c:numCache>
            </c:numRef>
          </c:yVal>
          <c:smooth val="1"/>
          <c:extLst>
            <c:ext xmlns:c16="http://schemas.microsoft.com/office/drawing/2014/chart" uri="{C3380CC4-5D6E-409C-BE32-E72D297353CC}">
              <c16:uniqueId val="{00000003-901A-4CE4-83F4-75906C9CC573}"/>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25.852760179793318</c:v>
                </c:pt>
                <c:pt idx="1">
                  <c:v>25.852710631219601</c:v>
                </c:pt>
                <c:pt idx="2">
                  <c:v>25.852658748099728</c:v>
                </c:pt>
                <c:pt idx="3">
                  <c:v>25.852604420468484</c:v>
                </c:pt>
                <c:pt idx="4">
                  <c:v>25.852547533183667</c:v>
                </c:pt>
                <c:pt idx="5">
                  <c:v>25.85248796568283</c:v>
                </c:pt>
                <c:pt idx="6">
                  <c:v>25.85242559172832</c:v>
                </c:pt>
                <c:pt idx="7">
                  <c:v>25.852360279140608</c:v>
                </c:pt>
                <c:pt idx="8">
                  <c:v>25.852291889518824</c:v>
                </c:pt>
                <c:pt idx="9">
                  <c:v>25.852220277948341</c:v>
                </c:pt>
                <c:pt idx="10">
                  <c:v>25.852145292694878</c:v>
                </c:pt>
                <c:pt idx="11">
                  <c:v>25.852066774883685</c:v>
                </c:pt>
                <c:pt idx="12">
                  <c:v>25.851984558164375</c:v>
                </c:pt>
                <c:pt idx="13">
                  <c:v>25.851898468359643</c:v>
                </c:pt>
                <c:pt idx="14">
                  <c:v>25.851808323097451</c:v>
                </c:pt>
                <c:pt idx="15">
                  <c:v>25.851713931426591</c:v>
                </c:pt>
                <c:pt idx="16">
                  <c:v>25.851615093413368</c:v>
                </c:pt>
                <c:pt idx="17">
                  <c:v>25.851511599720311</c:v>
                </c:pt>
                <c:pt idx="18">
                  <c:v>25.85140323116461</c:v>
                </c:pt>
                <c:pt idx="19">
                  <c:v>25.851289758256119</c:v>
                </c:pt>
                <c:pt idx="20">
                  <c:v>25.85117094071359</c:v>
                </c:pt>
                <c:pt idx="21">
                  <c:v>25.851046526958861</c:v>
                </c:pt>
                <c:pt idx="22">
                  <c:v>25.850916253586611</c:v>
                </c:pt>
                <c:pt idx="23">
                  <c:v>25.850779844810141</c:v>
                </c:pt>
                <c:pt idx="24">
                  <c:v>25.850637011880686</c:v>
                </c:pt>
                <c:pt idx="25">
                  <c:v>25.850487452480255</c:v>
                </c:pt>
                <c:pt idx="26">
                  <c:v>25.850330850085633</c:v>
                </c:pt>
                <c:pt idx="27">
                  <c:v>25.85016687330322</c:v>
                </c:pt>
                <c:pt idx="28">
                  <c:v>25.849995175172523</c:v>
                </c:pt>
                <c:pt idx="29">
                  <c:v>25.849815392437606</c:v>
                </c:pt>
                <c:pt idx="30">
                  <c:v>25.849627144784396</c:v>
                </c:pt>
                <c:pt idx="31">
                  <c:v>25.849430034042911</c:v>
                </c:pt>
                <c:pt idx="32">
                  <c:v>25.849223643351937</c:v>
                </c:pt>
                <c:pt idx="33">
                  <c:v>25.849007536285491</c:v>
                </c:pt>
                <c:pt idx="34">
                  <c:v>25.848781255938572</c:v>
                </c:pt>
                <c:pt idx="35">
                  <c:v>25.848544323970486</c:v>
                </c:pt>
                <c:pt idx="36">
                  <c:v>25.848296239604057</c:v>
                </c:pt>
                <c:pt idx="37">
                  <c:v>25.8480364785785</c:v>
                </c:pt>
                <c:pt idx="38">
                  <c:v>25.847764492053965</c:v>
                </c:pt>
                <c:pt idx="39">
                  <c:v>25.847479705465638</c:v>
                </c:pt>
                <c:pt idx="40">
                  <c:v>25.847181517324657</c:v>
                </c:pt>
                <c:pt idx="41">
                  <c:v>25.846869297964439</c:v>
                </c:pt>
                <c:pt idx="42">
                  <c:v>25.846542388228684</c:v>
                </c:pt>
                <c:pt idx="43">
                  <c:v>25.846200098099477</c:v>
                </c:pt>
                <c:pt idx="44">
                  <c:v>25.845841705262576</c:v>
                </c:pt>
                <c:pt idx="45">
                  <c:v>25.845466453606392</c:v>
                </c:pt>
                <c:pt idx="46">
                  <c:v>25.845073551653158</c:v>
                </c:pt>
                <c:pt idx="47">
                  <c:v>25.844662170917388</c:v>
                </c:pt>
                <c:pt idx="48">
                  <c:v>25.844231444190534</c:v>
                </c:pt>
                <c:pt idx="49">
                  <c:v>25.843780463746192</c:v>
                </c:pt>
                <c:pt idx="50">
                  <c:v>25.843308279465251</c:v>
                </c:pt>
                <c:pt idx="51">
                  <c:v>25.842813896874439</c:v>
                </c:pt>
                <c:pt idx="52">
                  <c:v>25.842296275097006</c:v>
                </c:pt>
                <c:pt idx="53">
                  <c:v>25.841754324710294</c:v>
                </c:pt>
                <c:pt idx="54">
                  <c:v>25.841186905506405</c:v>
                </c:pt>
                <c:pt idx="55">
                  <c:v>25.840592824152644</c:v>
                </c:pt>
                <c:pt idx="56">
                  <c:v>25.839970831745987</c:v>
                </c:pt>
                <c:pt idx="57">
                  <c:v>25.839319621258841</c:v>
                </c:pt>
                <c:pt idx="58">
                  <c:v>25.838637824869259</c:v>
                </c:pt>
                <c:pt idx="59">
                  <c:v>25.837924011173659</c:v>
                </c:pt>
                <c:pt idx="60">
                  <c:v>25.837176682274038</c:v>
                </c:pt>
                <c:pt idx="61">
                  <c:v>25.836394270736839</c:v>
                </c:pt>
                <c:pt idx="62">
                  <c:v>25.83557513641702</c:v>
                </c:pt>
                <c:pt idx="63">
                  <c:v>25.834717563142043</c:v>
                </c:pt>
                <c:pt idx="64">
                  <c:v>25.833819755250055</c:v>
                </c:pt>
                <c:pt idx="65">
                  <c:v>25.832879833976882</c:v>
                </c:pt>
                <c:pt idx="66">
                  <c:v>25.831895833684811</c:v>
                </c:pt>
                <c:pt idx="67">
                  <c:v>25.830865697927585</c:v>
                </c:pt>
                <c:pt idx="68">
                  <c:v>25.829787275345467</c:v>
                </c:pt>
                <c:pt idx="69">
                  <c:v>25.828658315382974</c:v>
                </c:pt>
                <c:pt idx="70">
                  <c:v>25.827476463822684</c:v>
                </c:pt>
                <c:pt idx="71">
                  <c:v>25.826239258129014</c:v>
                </c:pt>
                <c:pt idx="72">
                  <c:v>25.824944122593511</c:v>
                </c:pt>
                <c:pt idx="73">
                  <c:v>25.823588363275562</c:v>
                </c:pt>
                <c:pt idx="74">
                  <c:v>25.822169162729658</c:v>
                </c:pt>
                <c:pt idx="75">
                  <c:v>25.820683574513698</c:v>
                </c:pt>
                <c:pt idx="76">
                  <c:v>25.819128517467874</c:v>
                </c:pt>
                <c:pt idx="77">
                  <c:v>25.817500769759182</c:v>
                </c:pt>
                <c:pt idx="78">
                  <c:v>25.815796962680739</c:v>
                </c:pt>
                <c:pt idx="79">
                  <c:v>25.814013574200246</c:v>
                </c:pt>
                <c:pt idx="80">
                  <c:v>25.812146922247784</c:v>
                </c:pt>
                <c:pt idx="81">
                  <c:v>25.810193157735441</c:v>
                </c:pt>
                <c:pt idx="82">
                  <c:v>25.808148257300594</c:v>
                </c:pt>
                <c:pt idx="83">
                  <c:v>25.806008015764284</c:v>
                </c:pt>
                <c:pt idx="84">
                  <c:v>25.803768038296884</c:v>
                </c:pt>
                <c:pt idx="85">
                  <c:v>25.801423732282306</c:v>
                </c:pt>
                <c:pt idx="86">
                  <c:v>25.798970298873776</c:v>
                </c:pt>
                <c:pt idx="87">
                  <c:v>25.796402724232372</c:v>
                </c:pt>
                <c:pt idx="88">
                  <c:v>25.793715770441182</c:v>
                </c:pt>
                <c:pt idx="89">
                  <c:v>25.790903966088052</c:v>
                </c:pt>
                <c:pt idx="90">
                  <c:v>25.787961596508847</c:v>
                </c:pt>
                <c:pt idx="91">
                  <c:v>25.784882693686455</c:v>
                </c:pt>
                <c:pt idx="92">
                  <c:v>25.781661025797536</c:v>
                </c:pt>
                <c:pt idx="93">
                  <c:v>25.778290086402897</c:v>
                </c:pt>
                <c:pt idx="94">
                  <c:v>25.774763083276184</c:v>
                </c:pt>
                <c:pt idx="95">
                  <c:v>25.771072926866697</c:v>
                </c:pt>
                <c:pt idx="96">
                  <c:v>25.767212218393372</c:v>
                </c:pt>
                <c:pt idx="97">
                  <c:v>25.763173237568047</c:v>
                </c:pt>
                <c:pt idx="98">
                  <c:v>25.758947929946551</c:v>
                </c:pt>
                <c:pt idx="99">
                  <c:v>25.754527893908168</c:v>
                </c:pt>
                <c:pt idx="100">
                  <c:v>25.749904367265213</c:v>
                </c:pt>
                <c:pt idx="101">
                  <c:v>25.745068213505835</c:v>
                </c:pt>
                <c:pt idx="102">
                  <c:v>25.740009907675923</c:v>
                </c:pt>
                <c:pt idx="103">
                  <c:v>25.734719521906161</c:v>
                </c:pt>
                <c:pt idx="104">
                  <c:v>25.729186710594188</c:v>
                </c:pt>
                <c:pt idx="105">
                  <c:v>25.723400695254035</c:v>
                </c:pt>
                <c:pt idx="106">
                  <c:v>25.717350249045644</c:v>
                </c:pt>
                <c:pt idx="107">
                  <c:v>25.711023681003816</c:v>
                </c:pt>
                <c:pt idx="108">
                  <c:v>25.704408819985023</c:v>
                </c:pt>
                <c:pt idx="109">
                  <c:v>25.697492998357255</c:v>
                </c:pt>
                <c:pt idx="110">
                  <c:v>25.690263035459498</c:v>
                </c:pt>
                <c:pt idx="111">
                  <c:v>25.682705220863028</c:v>
                </c:pt>
                <c:pt idx="112">
                  <c:v>25.674805297469678</c:v>
                </c:pt>
                <c:pt idx="113">
                  <c:v>25.666548444488505</c:v>
                </c:pt>
                <c:pt idx="114">
                  <c:v>25.65791926033458</c:v>
                </c:pt>
                <c:pt idx="115">
                  <c:v>25.648901745502727</c:v>
                </c:pt>
                <c:pt idx="116">
                  <c:v>25.639479285470649</c:v>
                </c:pt>
                <c:pt idx="117">
                  <c:v>25.629634633694796</c:v>
                </c:pt>
                <c:pt idx="118">
                  <c:v>25.619349894767332</c:v>
                </c:pt>
                <c:pt idx="119">
                  <c:v>25.608606507809132</c:v>
                </c:pt>
                <c:pt idx="120">
                  <c:v>25.59738523018185</c:v>
                </c:pt>
                <c:pt idx="121">
                  <c:v>25.585666121607385</c:v>
                </c:pt>
                <c:pt idx="122">
                  <c:v>25.573428528792611</c:v>
                </c:pt>
                <c:pt idx="123">
                  <c:v>25.560651070664463</c:v>
                </c:pt>
                <c:pt idx="124">
                  <c:v>25.547311624327392</c:v>
                </c:pt>
                <c:pt idx="125">
                  <c:v>25.533387311865056</c:v>
                </c:pt>
                <c:pt idx="126">
                  <c:v>25.518854488115998</c:v>
                </c:pt>
                <c:pt idx="127">
                  <c:v>25.503688729560121</c:v>
                </c:pt>
                <c:pt idx="128">
                  <c:v>25.48786482446436</c:v>
                </c:pt>
                <c:pt idx="129">
                  <c:v>25.471356764439776</c:v>
                </c:pt>
                <c:pt idx="130">
                  <c:v>25.4541377375755</c:v>
                </c:pt>
                <c:pt idx="131">
                  <c:v>25.436180123318817</c:v>
                </c:pt>
                <c:pt idx="132">
                  <c:v>25.417455489280179</c:v>
                </c:pt>
                <c:pt idx="133">
                  <c:v>25.397934590148616</c:v>
                </c:pt>
                <c:pt idx="134">
                  <c:v>25.377587368909001</c:v>
                </c:pt>
                <c:pt idx="135">
                  <c:v>25.35638296055799</c:v>
                </c:pt>
                <c:pt idx="136">
                  <c:v>25.334289698520557</c:v>
                </c:pt>
                <c:pt idx="137">
                  <c:v>25.311275123971644</c:v>
                </c:pt>
                <c:pt idx="138">
                  <c:v>25.287305998269321</c:v>
                </c:pt>
                <c:pt idx="139">
                  <c:v>25.262348318706582</c:v>
                </c:pt>
                <c:pt idx="140">
                  <c:v>25.236367337787279</c:v>
                </c:pt>
                <c:pt idx="141">
                  <c:v>25.209327586227474</c:v>
                </c:pt>
                <c:pt idx="142">
                  <c:v>25.181192899879296</c:v>
                </c:pt>
                <c:pt idx="143">
                  <c:v>25.151926450764279</c:v>
                </c:pt>
                <c:pt idx="144">
                  <c:v>25.121490782393945</c:v>
                </c:pt>
                <c:pt idx="145">
                  <c:v>25.089847849541279</c:v>
                </c:pt>
                <c:pt idx="146">
                  <c:v>25.056959062609732</c:v>
                </c:pt>
                <c:pt idx="147">
                  <c:v>25.022785336726887</c:v>
                </c:pt>
                <c:pt idx="148">
                  <c:v>24.987287145667153</c:v>
                </c:pt>
                <c:pt idx="149">
                  <c:v>24.950424580680767</c:v>
                </c:pt>
                <c:pt idx="150">
                  <c:v>24.912157414277488</c:v>
                </c:pt>
                <c:pt idx="151">
                  <c:v>24.872445168978121</c:v>
                </c:pt>
                <c:pt idx="152">
                  <c:v>24.831247191013553</c:v>
                </c:pt>
                <c:pt idx="153">
                  <c:v>24.788522728906969</c:v>
                </c:pt>
                <c:pt idx="154">
                  <c:v>24.744231016836157</c:v>
                </c:pt>
                <c:pt idx="155">
                  <c:v>24.698331362623822</c:v>
                </c:pt>
                <c:pt idx="156">
                  <c:v>24.650783240156656</c:v>
                </c:pt>
                <c:pt idx="157">
                  <c:v>24.601546385985259</c:v>
                </c:pt>
                <c:pt idx="158">
                  <c:v>24.550580899801325</c:v>
                </c:pt>
                <c:pt idx="159">
                  <c:v>24.497847348440963</c:v>
                </c:pt>
                <c:pt idx="160">
                  <c:v>24.443306873004641</c:v>
                </c:pt>
                <c:pt idx="161">
                  <c:v>24.386921298635645</c:v>
                </c:pt>
                <c:pt idx="162">
                  <c:v>24.32865324644597</c:v>
                </c:pt>
                <c:pt idx="163">
                  <c:v>24.268466247028027</c:v>
                </c:pt>
                <c:pt idx="164">
                  <c:v>24.206324854946697</c:v>
                </c:pt>
                <c:pt idx="165">
                  <c:v>24.142194763562106</c:v>
                </c:pt>
                <c:pt idx="166">
                  <c:v>24.076042919494927</c:v>
                </c:pt>
                <c:pt idx="167">
                  <c:v>24.007837636016099</c:v>
                </c:pt>
                <c:pt idx="168">
                  <c:v>23.93754870461543</c:v>
                </c:pt>
                <c:pt idx="169">
                  <c:v>23.865147503984957</c:v>
                </c:pt>
                <c:pt idx="170">
                  <c:v>23.790607105644483</c:v>
                </c:pt>
                <c:pt idx="171">
                  <c:v>23.713902375432454</c:v>
                </c:pt>
                <c:pt idx="172">
                  <c:v>23.635010070094783</c:v>
                </c:pt>
                <c:pt idx="173">
                  <c:v>23.553908928218963</c:v>
                </c:pt>
                <c:pt idx="174">
                  <c:v>23.470579754789327</c:v>
                </c:pt>
                <c:pt idx="175">
                  <c:v>23.385005498672655</c:v>
                </c:pt>
                <c:pt idx="176">
                  <c:v>23.297171322390881</c:v>
                </c:pt>
                <c:pt idx="177">
                  <c:v>23.207064663590632</c:v>
                </c:pt>
                <c:pt idx="178">
                  <c:v>23.114675287681617</c:v>
                </c:pt>
                <c:pt idx="179">
                  <c:v>23.019995331188149</c:v>
                </c:pt>
                <c:pt idx="180">
                  <c:v>22.923019335433015</c:v>
                </c:pt>
                <c:pt idx="181">
                  <c:v>22.82374427025762</c:v>
                </c:pt>
                <c:pt idx="182">
                  <c:v>22.722169547568122</c:v>
                </c:pt>
                <c:pt idx="183">
                  <c:v>22.618297024589346</c:v>
                </c:pt>
                <c:pt idx="184">
                  <c:v>22.512130996800103</c:v>
                </c:pt>
                <c:pt idx="185">
                  <c:v>22.40367818061522</c:v>
                </c:pt>
                <c:pt idx="186">
                  <c:v>22.292947685974411</c:v>
                </c:pt>
                <c:pt idx="187">
                  <c:v>22.179950979083934</c:v>
                </c:pt>
                <c:pt idx="188">
                  <c:v>22.064701835645323</c:v>
                </c:pt>
                <c:pt idx="189">
                  <c:v>21.947216284985171</c:v>
                </c:pt>
                <c:pt idx="190">
                  <c:v>21.827512545573864</c:v>
                </c:pt>
                <c:pt idx="191">
                  <c:v>21.705610952489568</c:v>
                </c:pt>
                <c:pt idx="192">
                  <c:v>21.581533877441963</c:v>
                </c:pt>
                <c:pt idx="193">
                  <c:v>21.455305642021937</c:v>
                </c:pt>
                <c:pt idx="194">
                  <c:v>21.326952424883075</c:v>
                </c:pt>
                <c:pt idx="195">
                  <c:v>21.196502163594953</c:v>
                </c:pt>
                <c:pt idx="196">
                  <c:v>21.063984451927919</c:v>
                </c:pt>
                <c:pt idx="197">
                  <c:v>20.929430433344734</c:v>
                </c:pt>
                <c:pt idx="198">
                  <c:v>20.792872691474862</c:v>
                </c:pt>
                <c:pt idx="199">
                  <c:v>20.654345138344098</c:v>
                </c:pt>
                <c:pt idx="200">
                  <c:v>20.513882901117704</c:v>
                </c:pt>
                <c:pt idx="201">
                  <c:v>20.371522208092465</c:v>
                </c:pt>
                <c:pt idx="202">
                  <c:v>20.227300274647696</c:v>
                </c:pt>
                <c:pt idx="203">
                  <c:v>20.081255189826031</c:v>
                </c:pt>
                <c:pt idx="204">
                  <c:v>19.933425804180253</c:v>
                </c:pt>
                <c:pt idx="205">
                  <c:v>19.783851619473776</c:v>
                </c:pt>
                <c:pt idx="206">
                  <c:v>19.632572680776772</c:v>
                </c:pt>
                <c:pt idx="207">
                  <c:v>19.479629471449577</c:v>
                </c:pt>
                <c:pt idx="208">
                  <c:v>19.325062811452757</c:v>
                </c:pt>
                <c:pt idx="209">
                  <c:v>19.168913759370181</c:v>
                </c:pt>
                <c:pt idx="210">
                  <c:v>19.011223518478378</c:v>
                </c:pt>
                <c:pt idx="211">
                  <c:v>18.852033347144804</c:v>
                </c:pt>
                <c:pt idx="212">
                  <c:v>18.691384473783003</c:v>
                </c:pt>
                <c:pt idx="213">
                  <c:v>18.52931801654719</c:v>
                </c:pt>
                <c:pt idx="214">
                  <c:v>18.365874907898842</c:v>
                </c:pt>
                <c:pt idx="215">
                  <c:v>18.201095824134647</c:v>
                </c:pt>
                <c:pt idx="216">
                  <c:v>18.035021119922781</c:v>
                </c:pt>
                <c:pt idx="217">
                  <c:v>17.867690767857116</c:v>
                </c:pt>
                <c:pt idx="218">
                  <c:v>17.699144303001869</c:v>
                </c:pt>
                <c:pt idx="219">
                  <c:v>17.529420772370297</c:v>
                </c:pt>
                <c:pt idx="220">
                  <c:v>17.358558689249346</c:v>
                </c:pt>
                <c:pt idx="221">
                  <c:v>17.186595992259882</c:v>
                </c:pt>
                <c:pt idx="222">
                  <c:v>17.01357000901988</c:v>
                </c:pt>
                <c:pt idx="223">
                  <c:v>16.839517424258236</c:v>
                </c:pt>
                <c:pt idx="224">
                  <c:v>16.664474252213985</c:v>
                </c:pt>
                <c:pt idx="225">
                  <c:v>16.48847581314153</c:v>
                </c:pt>
                <c:pt idx="226">
                  <c:v>16.31155671373342</c:v>
                </c:pt>
                <c:pt idx="227">
                  <c:v>16.133750831266347</c:v>
                </c:pt>
                <c:pt idx="228">
                  <c:v>15.955091301270034</c:v>
                </c:pt>
                <c:pt idx="229">
                  <c:v>15.775610508515696</c:v>
                </c:pt>
                <c:pt idx="230">
                  <c:v>15.59534008112341</c:v>
                </c:pt>
                <c:pt idx="231">
                  <c:v>15.414310887584008</c:v>
                </c:pt>
                <c:pt idx="232">
                  <c:v>15.232553036498715</c:v>
                </c:pt>
                <c:pt idx="233">
                  <c:v>15.050095878839503</c:v>
                </c:pt>
                <c:pt idx="234">
                  <c:v>14.866968012540923</c:v>
                </c:pt>
                <c:pt idx="235">
                  <c:v>14.683197289239484</c:v>
                </c:pt>
                <c:pt idx="236">
                  <c:v>14.498810822982325</c:v>
                </c:pt>
                <c:pt idx="237">
                  <c:v>14.313835000736066</c:v>
                </c:pt>
                <c:pt idx="238">
                  <c:v>14.128295494533349</c:v>
                </c:pt>
                <c:pt idx="239">
                  <c:v>13.942217275103115</c:v>
                </c:pt>
                <c:pt idx="240">
                  <c:v>13.755624626839731</c:v>
                </c:pt>
                <c:pt idx="241">
                  <c:v>13.568541163973373</c:v>
                </c:pt>
                <c:pt idx="242">
                  <c:v>13.380989847814288</c:v>
                </c:pt>
                <c:pt idx="243">
                  <c:v>13.192993004951486</c:v>
                </c:pt>
                <c:pt idx="244">
                  <c:v>13.004572346294307</c:v>
                </c:pt>
                <c:pt idx="245">
                  <c:v>12.815748986854555</c:v>
                </c:pt>
                <c:pt idx="246">
                  <c:v>12.626543466175551</c:v>
                </c:pt>
                <c:pt idx="247">
                  <c:v>12.436975769321002</c:v>
                </c:pt>
                <c:pt idx="248">
                  <c:v>12.247065348344819</c:v>
                </c:pt>
                <c:pt idx="249">
                  <c:v>12.056831144171657</c:v>
                </c:pt>
                <c:pt idx="250">
                  <c:v>11.866291608822554</c:v>
                </c:pt>
                <c:pt idx="251">
                  <c:v>11.675464727929377</c:v>
                </c:pt>
                <c:pt idx="252">
                  <c:v>11.484368043486571</c:v>
                </c:pt>
                <c:pt idx="253">
                  <c:v>11.293018676794372</c:v>
                </c:pt>
                <c:pt idx="254">
                  <c:v>11.101433351556114</c:v>
                </c:pt>
                <c:pt idx="255">
                  <c:v>10.909628417093348</c:v>
                </c:pt>
                <c:pt idx="256">
                  <c:v>10.717619871652193</c:v>
                </c:pt>
                <c:pt idx="257">
                  <c:v>10.525423385774692</c:v>
                </c:pt>
                <c:pt idx="258">
                  <c:v>10.33305432571683</c:v>
                </c:pt>
                <c:pt idx="259">
                  <c:v>10.140527776896516</c:v>
                </c:pt>
                <c:pt idx="260">
                  <c:v>9.9478585673599991</c:v>
                </c:pt>
                <c:pt idx="261">
                  <c:v>9.7550612912581087</c:v>
                </c:pt>
                <c:pt idx="262">
                  <c:v>9.5621503323266186</c:v>
                </c:pt>
                <c:pt idx="263">
                  <c:v>9.3691398873681138</c:v>
                </c:pt>
                <c:pt idx="264">
                  <c:v>9.1760439897358062</c:v>
                </c:pt>
                <c:pt idx="265">
                  <c:v>8.9828765328213738</c:v>
                </c:pt>
                <c:pt idx="266">
                  <c:v>8.7896512935513691</c:v>
                </c:pt>
                <c:pt idx="267">
                  <c:v>8.5963819558981598</c:v>
                </c:pt>
                <c:pt idx="268">
                  <c:v>8.4030821344139675</c:v>
                </c:pt>
                <c:pt idx="269">
                  <c:v>8.2097653977966498</c:v>
                </c:pt>
                <c:pt idx="270">
                  <c:v>8.0164452924979006</c:v>
                </c:pt>
                <c:pt idx="271">
                  <c:v>7.8231353663851291</c:v>
                </c:pt>
                <c:pt idx="272">
                  <c:v>7.6298491924696226</c:v>
                </c:pt>
                <c:pt idx="273">
                  <c:v>7.436600392712327</c:v>
                </c:pt>
                <c:pt idx="274">
                  <c:v>7.2434026619216505</c:v>
                </c:pt>
                <c:pt idx="275">
                  <c:v>7.0502697917550536</c:v>
                </c:pt>
                <c:pt idx="276">
                  <c:v>6.8572156948375573</c:v>
                </c:pt>
                <c:pt idx="277">
                  <c:v>6.6642544290103221</c:v>
                </c:pt>
                <c:pt idx="278">
                  <c:v>6.4714002217197226</c:v>
                </c:pt>
                <c:pt idx="279">
                  <c:v>6.2786674945600494</c:v>
                </c:pt>
                <c:pt idx="280">
                  <c:v>6.0860708879777761</c:v>
                </c:pt>
                <c:pt idx="281">
                  <c:v>5.8936252861479215</c:v>
                </c:pt>
                <c:pt idx="282">
                  <c:v>5.7013458420292569</c:v>
                </c:pt>
                <c:pt idx="283">
                  <c:v>5.5092480026034476</c:v>
                </c:pt>
                <c:pt idx="284">
                  <c:v>5.3173475343037113</c:v>
                </c:pt>
                <c:pt idx="285">
                  <c:v>5.1256605486310001</c:v>
                </c:pt>
                <c:pt idx="286">
                  <c:v>4.9342035279599372</c:v>
                </c:pt>
                <c:pt idx="287">
                  <c:v>4.7429933515289662</c:v>
                </c:pt>
                <c:pt idx="288">
                  <c:v>4.5520473216067145</c:v>
                </c:pt>
                <c:pt idx="289">
                  <c:v>4.3613831898256219</c:v>
                </c:pt>
                <c:pt idx="290">
                  <c:v>4.1710191836669459</c:v>
                </c:pt>
                <c:pt idx="291">
                  <c:v>3.9809740330789776</c:v>
                </c:pt>
                <c:pt idx="292">
                  <c:v>3.7912669972058231</c:v>
                </c:pt>
                <c:pt idx="293">
                  <c:v>3.6019178911969441</c:v>
                </c:pt>
                <c:pt idx="294">
                  <c:v>3.412947113066513</c:v>
                </c:pt>
                <c:pt idx="295">
                  <c:v>3.2243756705610851</c:v>
                </c:pt>
                <c:pt idx="296">
                  <c:v>3.0362252079911634</c:v>
                </c:pt>
                <c:pt idx="297">
                  <c:v>2.8485180329763811</c:v>
                </c:pt>
                <c:pt idx="298">
                  <c:v>2.6612771430423372</c:v>
                </c:pt>
                <c:pt idx="299">
                  <c:v>2.4745262520062243</c:v>
                </c:pt>
                <c:pt idx="300">
                  <c:v>2.2882898160750278</c:v>
                </c:pt>
                <c:pt idx="301">
                  <c:v>2.102593059575196</c:v>
                </c:pt>
                <c:pt idx="302">
                  <c:v>1.9174620002222085</c:v>
                </c:pt>
                <c:pt idx="303">
                  <c:v>1.732923473830392</c:v>
                </c:pt>
                <c:pt idx="304">
                  <c:v>1.549005158353691</c:v>
                </c:pt>
                <c:pt idx="305">
                  <c:v>1.3657355971380114</c:v>
                </c:pt>
                <c:pt idx="306">
                  <c:v>1.1831442212550816</c:v>
                </c:pt>
                <c:pt idx="307">
                  <c:v>1.0012613707797411</c:v>
                </c:pt>
                <c:pt idx="308">
                  <c:v>0.82011831485794284</c:v>
                </c:pt>
                <c:pt idx="309">
                  <c:v>0.63974727040707491</c:v>
                </c:pt>
                <c:pt idx="310">
                  <c:v>0.46018141927362471</c:v>
                </c:pt>
                <c:pt idx="311">
                  <c:v>0.28145492366788261</c:v>
                </c:pt>
                <c:pt idx="312">
                  <c:v>0.10360293968069602</c:v>
                </c:pt>
                <c:pt idx="313">
                  <c:v>-7.3338371321337734E-2</c:v>
                </c:pt>
                <c:pt idx="314">
                  <c:v>-0.24933183363715891</c:v>
                </c:pt>
                <c:pt idx="315">
                  <c:v>-0.4243392507313668</c:v>
                </c:pt>
                <c:pt idx="316">
                  <c:v>-0.59832140152809155</c:v>
                </c:pt>
                <c:pt idx="317">
                  <c:v>-0.77123803973827698</c:v>
                </c:pt>
                <c:pt idx="318">
                  <c:v>-0.94304789646908227</c:v>
                </c:pt>
                <c:pt idx="319">
                  <c:v>-1.1137086863703847</c:v>
                </c:pt>
                <c:pt idx="320">
                  <c:v>-1.2831771175761837</c:v>
                </c:pt>
                <c:pt idx="321">
                  <c:v>-1.4514089057038884</c:v>
                </c:pt>
                <c:pt idx="322">
                  <c:v>-1.618358792173777</c:v>
                </c:pt>
                <c:pt idx="323">
                  <c:v>-1.7839805671108215</c:v>
                </c:pt>
                <c:pt idx="324">
                  <c:v>-1.9482270970886972</c:v>
                </c:pt>
                <c:pt idx="325">
                  <c:v>-2.1110503579671476</c:v>
                </c:pt>
                <c:pt idx="326">
                  <c:v>-2.2724014730686655</c:v>
                </c:pt>
                <c:pt idx="327">
                  <c:v>-2.4322307569274737</c:v>
                </c:pt>
                <c:pt idx="328">
                  <c:v>-2.5904877648279232</c:v>
                </c:pt>
                <c:pt idx="329">
                  <c:v>-2.7471213483339612</c:v>
                </c:pt>
                <c:pt idx="330">
                  <c:v>-2.9020797169870245</c:v>
                </c:pt>
                <c:pt idx="331">
                  <c:v>-3.0553105063272898</c:v>
                </c:pt>
                <c:pt idx="332">
                  <c:v>-3.2067608523616782</c:v>
                </c:pt>
                <c:pt idx="333">
                  <c:v>-3.3563774725722939</c:v>
                </c:pt>
                <c:pt idx="334">
                  <c:v>-3.5041067535200177</c:v>
                </c:pt>
                <c:pt idx="335">
                  <c:v>-3.6498948450608437</c:v>
                </c:pt>
                <c:pt idx="336">
                  <c:v>-3.793687761146697</c:v>
                </c:pt>
                <c:pt idx="337">
                  <c:v>-3.9354314871389757</c:v>
                </c:pt>
                <c:pt idx="338">
                  <c:v>-4.0750720935109506</c:v>
                </c:pt>
                <c:pt idx="339">
                  <c:v>-4.2125558557645091</c:v>
                </c:pt>
                <c:pt idx="340">
                  <c:v>-4.3478293803332111</c:v>
                </c:pt>
                <c:pt idx="341">
                  <c:v>-4.4808397361864074</c:v>
                </c:pt>
                <c:pt idx="342">
                  <c:v>-4.6115345917931334</c:v>
                </c:pt>
                <c:pt idx="343">
                  <c:v>-4.7398623570471745</c:v>
                </c:pt>
                <c:pt idx="344">
                  <c:v>-4.8657723296971618</c:v>
                </c:pt>
                <c:pt idx="345">
                  <c:v>-4.9892148457691876</c:v>
                </c:pt>
                <c:pt idx="346">
                  <c:v>-5.1101414334151993</c:v>
                </c:pt>
                <c:pt idx="347">
                  <c:v>-5.2285049695662869</c:v>
                </c:pt>
                <c:pt idx="348">
                  <c:v>-5.3442598387237448</c:v>
                </c:pt>
                <c:pt idx="349">
                  <c:v>-5.4573620931714295</c:v>
                </c:pt>
                <c:pt idx="350">
                  <c:v>-5.5677696138544954</c:v>
                </c:pt>
                <c:pt idx="351">
                  <c:v>-5.6754422711316295</c:v>
                </c:pt>
                <c:pt idx="352">
                  <c:v>-5.7803420845784617</c:v>
                </c:pt>
                <c:pt idx="353">
                  <c:v>-5.8824333809942084</c:v>
                </c:pt>
                <c:pt idx="354">
                  <c:v>-5.9816829497464621</c:v>
                </c:pt>
                <c:pt idx="355">
                  <c:v>-6.0780601945759045</c:v>
                </c:pt>
                <c:pt idx="356">
                  <c:v>-6.1715372809800382</c:v>
                </c:pt>
                <c:pt idx="357">
                  <c:v>-6.2620892782944102</c:v>
                </c:pt>
                <c:pt idx="358">
                  <c:v>-6.3496942956017142</c:v>
                </c:pt>
                <c:pt idx="359">
                  <c:v>-6.4343336106110858</c:v>
                </c:pt>
                <c:pt idx="360">
                  <c:v>-6.5159917906747982</c:v>
                </c:pt>
                <c:pt idx="361">
                  <c:v>-6.5946568051345489</c:v>
                </c:pt>
                <c:pt idx="362">
                  <c:v>-6.670320128223989</c:v>
                </c:pt>
                <c:pt idx="363">
                  <c:v>-6.7429768317927117</c:v>
                </c:pt>
                <c:pt idx="364">
                  <c:v>-6.8126256671580396</c:v>
                </c:pt>
                <c:pt idx="365">
                  <c:v>-6.8792691354395235</c:v>
                </c:pt>
                <c:pt idx="366">
                  <c:v>-6.9429135457813</c:v>
                </c:pt>
                <c:pt idx="367">
                  <c:v>-7.003569060920861</c:v>
                </c:pt>
                <c:pt idx="368">
                  <c:v>-7.0612497296203376</c:v>
                </c:pt>
                <c:pt idx="369">
                  <c:v>-7.1159735055349387</c:v>
                </c:pt>
                <c:pt idx="370">
                  <c:v>-7.1677622521571003</c:v>
                </c:pt>
                <c:pt idx="371">
                  <c:v>-7.2166417335367496</c:v>
                </c:pt>
                <c:pt idx="372">
                  <c:v>-7.262641590546437</c:v>
                </c:pt>
                <c:pt idx="373">
                  <c:v>-7.3057953025285656</c:v>
                </c:pt>
                <c:pt idx="374">
                  <c:v>-7.3461401342326802</c:v>
                </c:pt>
                <c:pt idx="375">
                  <c:v>-7.3837170680249073</c:v>
                </c:pt>
                <c:pt idx="376">
                  <c:v>-7.418570721428237</c:v>
                </c:pt>
                <c:pt idx="377">
                  <c:v>-7.4507492501294088</c:v>
                </c:pt>
                <c:pt idx="378">
                  <c:v>-7.4803042366725787</c:v>
                </c:pt>
                <c:pt idx="379">
                  <c:v>-7.5072905651399466</c:v>
                </c:pt>
                <c:pt idx="380">
                  <c:v>-7.5317662822099871</c:v>
                </c:pt>
                <c:pt idx="381">
                  <c:v>-7.5537924450686926</c:v>
                </c:pt>
                <c:pt idx="382">
                  <c:v>-7.5734329567422032</c:v>
                </c:pt>
                <c:pt idx="383">
                  <c:v>-7.5907543895071079</c:v>
                </c:pt>
                <c:pt idx="384">
                  <c:v>-7.6058257971297216</c:v>
                </c:pt>
                <c:pt idx="385">
                  <c:v>-7.6187185167709899</c:v>
                </c:pt>
                <c:pt idx="386">
                  <c:v>-7.6295059614881673</c:v>
                </c:pt>
                <c:pt idx="387">
                  <c:v>-7.6382634043439834</c:v>
                </c:pt>
                <c:pt idx="388">
                  <c:v>-7.6450677552188839</c:v>
                </c:pt>
                <c:pt idx="389">
                  <c:v>-7.6499973314953778</c:v>
                </c:pt>
                <c:pt idx="390">
                  <c:v>-7.6531316238512073</c:v>
                </c:pt>
                <c:pt idx="391">
                  <c:v>-7.6545510584559899</c:v>
                </c:pt>
                <c:pt idx="392">
                  <c:v>-7.6543367569157104</c:v>
                </c:pt>
                <c:pt idx="393">
                  <c:v>-7.6525702953448818</c:v>
                </c:pt>
                <c:pt idx="394">
                  <c:v>-7.6493334639702679</c:v>
                </c:pt>
                <c:pt idx="395">
                  <c:v>-7.6447080286799753</c:v>
                </c:pt>
                <c:pt idx="396">
                  <c:v>-7.6387754959275069</c:v>
                </c:pt>
                <c:pt idx="397">
                  <c:v>-7.6316168823796984</c:v>
                </c:pt>
                <c:pt idx="398">
                  <c:v>-7.6233124906629293</c:v>
                </c:pt>
                <c:pt idx="399">
                  <c:v>-7.6139416925123635</c:v>
                </c:pt>
                <c:pt idx="400">
                  <c:v>-7.6035827205618158</c:v>
                </c:pt>
                <c:pt idx="401">
                  <c:v>-7.592312469934738</c:v>
                </c:pt>
                <c:pt idx="402">
                  <c:v>-7.5802063107032334</c:v>
                </c:pt>
                <c:pt idx="403">
                  <c:v>-7.5673379121780302</c:v>
                </c:pt>
                <c:pt idx="404">
                  <c:v>-7.5537790798775797</c:v>
                </c:pt>
                <c:pt idx="405">
                  <c:v>-7.5395996059017989</c:v>
                </c:pt>
                <c:pt idx="406">
                  <c:v>-7.5248671333057136</c:v>
                </c:pt>
                <c:pt idx="407">
                  <c:v>-7.5096470349341455</c:v>
                </c:pt>
                <c:pt idx="408">
                  <c:v>-7.4940023070403488</c:v>
                </c:pt>
                <c:pt idx="409">
                  <c:v>-7.4779934778764208</c:v>
                </c:pt>
                <c:pt idx="410">
                  <c:v>-7.4616785313046563</c:v>
                </c:pt>
                <c:pt idx="411">
                  <c:v>-7.445112845347861</c:v>
                </c:pt>
                <c:pt idx="412">
                  <c:v>-7.4283491454699293</c:v>
                </c:pt>
                <c:pt idx="413">
                  <c:v>-7.4114374722571679</c:v>
                </c:pt>
                <c:pt idx="414">
                  <c:v>-7.3944251630610971</c:v>
                </c:pt>
                <c:pt idx="415">
                  <c:v>-7.3773568470593016</c:v>
                </c:pt>
                <c:pt idx="416">
                  <c:v>-7.3602744531050739</c:v>
                </c:pt>
                <c:pt idx="417">
                  <c:v>-7.343217229651855</c:v>
                </c:pt>
                <c:pt idx="418">
                  <c:v>-7.3262217759781079</c:v>
                </c:pt>
                <c:pt idx="419">
                  <c:v>-7.3093220838794437</c:v>
                </c:pt>
                <c:pt idx="420">
                  <c:v>-7.2925495889557155</c:v>
                </c:pt>
                <c:pt idx="421">
                  <c:v>-7.2759332305917841</c:v>
                </c:pt>
                <c:pt idx="422">
                  <c:v>-7.2594995197119605</c:v>
                </c:pt>
                <c:pt idx="423">
                  <c:v>-7.2432726133838008</c:v>
                </c:pt>
                <c:pt idx="424">
                  <c:v>-7.227274395351122</c:v>
                </c:pt>
                <c:pt idx="425">
                  <c:v>-7.2115245615901937</c:v>
                </c:pt>
                <c:pt idx="426">
                  <c:v>-7.1960407100076287</c:v>
                </c:pt>
                <c:pt idx="427">
                  <c:v>-7.1808384334277626</c:v>
                </c:pt>
                <c:pt idx="428">
                  <c:v>-7.1659314150576652</c:v>
                </c:pt>
                <c:pt idx="429">
                  <c:v>-7.1513315256584642</c:v>
                </c:pt>
                <c:pt idx="430">
                  <c:v>-7.1370489217019504</c:v>
                </c:pt>
                <c:pt idx="431">
                  <c:v>-7.1230921438416424</c:v>
                </c:pt>
                <c:pt idx="432">
                  <c:v>-7.1094682150817414</c:v>
                </c:pt>
                <c:pt idx="433">
                  <c:v>-7.0961827380823772</c:v>
                </c:pt>
                <c:pt idx="434">
                  <c:v>-7.0832399910968977</c:v>
                </c:pt>
                <c:pt idx="435">
                  <c:v>-7.0706430220909606</c:v>
                </c:pt>
                <c:pt idx="436">
                  <c:v>-7.0583937406501764</c:v>
                </c:pt>
                <c:pt idx="437">
                  <c:v>-7.0464930073357381</c:v>
                </c:pt>
                <c:pt idx="438">
                  <c:v>-7.0349407201989855</c:v>
                </c:pt>
                <c:pt idx="439">
                  <c:v>-7.0237358982165397</c:v>
                </c:pt>
                <c:pt idx="440">
                  <c:v>-7.0128767614527332</c:v>
                </c:pt>
                <c:pt idx="441">
                  <c:v>-7.0023608078002466</c:v>
                </c:pt>
                <c:pt idx="442">
                  <c:v>-6.9921848861914579</c:v>
                </c:pt>
                <c:pt idx="443">
                  <c:v>-6.982345266207707</c:v>
                </c:pt>
                <c:pt idx="444">
                  <c:v>-6.9728377040506881</c:v>
                </c:pt>
                <c:pt idx="445">
                  <c:v>-6.9636575048671867</c:v>
                </c:pt>
                <c:pt idx="446">
                  <c:v>-6.9547995814496826</c:v>
                </c:pt>
                <c:pt idx="447">
                  <c:v>-6.9462585093546902</c:v>
                </c:pt>
                <c:pt idx="448">
                  <c:v>-6.938028578505687</c:v>
                </c:pt>
                <c:pt idx="449">
                  <c:v>-6.9301038413636658</c:v>
                </c:pt>
                <c:pt idx="450">
                  <c:v>-6.9224781577628729</c:v>
                </c:pt>
                <c:pt idx="451">
                  <c:v>-6.9151452365232613</c:v>
                </c:pt>
                <c:pt idx="452">
                  <c:v>-6.9080986739615016</c:v>
                </c:pt>
                <c:pt idx="453">
                  <c:v>-6.9013319894290355</c:v>
                </c:pt>
                <c:pt idx="454">
                  <c:v>-6.8948386580123362</c:v>
                </c:pt>
                <c:pt idx="455">
                  <c:v>-6.8886121405363685</c:v>
                </c:pt>
                <c:pt idx="456">
                  <c:v>-6.8826459110115144</c:v>
                </c:pt>
                <c:pt idx="457">
                  <c:v>-6.8769334816688215</c:v>
                </c:pt>
                <c:pt idx="458">
                  <c:v>-6.8714684257263192</c:v>
                </c:pt>
                <c:pt idx="459">
                  <c:v>-6.8662443980280843</c:v>
                </c:pt>
                <c:pt idx="460">
                  <c:v>-6.8612551536973809</c:v>
                </c:pt>
                <c:pt idx="461">
                  <c:v>-6.8564945649392897</c:v>
                </c:pt>
                <c:pt idx="462">
                  <c:v>-6.851956636128139</c:v>
                </c:pt>
                <c:pt idx="463">
                  <c:v>-6.8476355173086576</c:v>
                </c:pt>
                <c:pt idx="464">
                  <c:v>-6.8435255162355402</c:v>
                </c:pt>
                <c:pt idx="465">
                  <c:v>-6.8396211090729082</c:v>
                </c:pt>
                <c:pt idx="466">
                  <c:v>-6.8359169498671584</c:v>
                </c:pt>
                <c:pt idx="467">
                  <c:v>-6.832407878906479</c:v>
                </c:pt>
                <c:pt idx="468">
                  <c:v>-6.8290889300678845</c:v>
                </c:pt>
                <c:pt idx="469">
                  <c:v>-6.8259553372545358</c:v>
                </c:pt>
                <c:pt idx="470">
                  <c:v>-6.8230025400164909</c:v>
                </c:pt>
                <c:pt idx="471">
                  <c:v>-6.8202261884436854</c:v>
                </c:pt>
                <c:pt idx="472">
                  <c:v>-6.8176221474158405</c:v>
                </c:pt>
                <c:pt idx="473">
                  <c:v>-6.8151865002880214</c:v>
                </c:pt>
                <c:pt idx="474">
                  <c:v>-6.8129155520857596</c:v>
                </c:pt>
                <c:pt idx="475">
                  <c:v>-6.8108058322799936</c:v>
                </c:pt>
                <c:pt idx="476">
                  <c:v>-6.8088540972068348</c:v>
                </c:pt>
                <c:pt idx="477">
                  <c:v>-6.8070573321921044</c:v>
                </c:pt>
                <c:pt idx="478">
                  <c:v>-6.8054127534394073</c:v>
                </c:pt>
                <c:pt idx="479">
                  <c:v>-6.8039178097330293</c:v>
                </c:pt>
                <c:pt idx="480">
                  <c:v>-6.8025701840058765</c:v>
                </c:pt>
                <c:pt idx="481">
                  <c:v>-6.8013677948183293</c:v>
                </c:pt>
                <c:pt idx="482">
                  <c:v>-6.8003087977916854</c:v>
                </c:pt>
                <c:pt idx="483">
                  <c:v>-6.7993915870344921</c:v>
                </c:pt>
                <c:pt idx="484">
                  <c:v>-6.7986147965999022</c:v>
                </c:pt>
                <c:pt idx="485">
                  <c:v>-6.7979773020089009</c:v>
                </c:pt>
                <c:pt idx="486">
                  <c:v>-6.797478221870346</c:v>
                </c:pt>
                <c:pt idx="487">
                  <c:v>-6.7971169196287606</c:v>
                </c:pt>
                <c:pt idx="488">
                  <c:v>-6.7968930054664254</c:v>
                </c:pt>
                <c:pt idx="489">
                  <c:v>-6.7968063383874666</c:v>
                </c:pt>
                <c:pt idx="490">
                  <c:v>-6.7968570285059897</c:v>
                </c:pt>
                <c:pt idx="491">
                  <c:v>-6.7970454395619795</c:v>
                </c:pt>
                <c:pt idx="492">
                  <c:v>-6.7973721916856782</c:v>
                </c:pt>
                <c:pt idx="493">
                  <c:v>-6.7978381644297787</c:v>
                </c:pt>
                <c:pt idx="494">
                  <c:v>-6.7984445000876939</c:v>
                </c:pt>
                <c:pt idx="495">
                  <c:v>-6.7991926073152484</c:v>
                </c:pt>
                <c:pt idx="496">
                  <c:v>-6.8000841650711541</c:v>
                </c:pt>
                <c:pt idx="497">
                  <c:v>-6.8011211268919469</c:v>
                </c:pt>
                <c:pt idx="498">
                  <c:v>-6.8023057255145876</c:v>
                </c:pt>
                <c:pt idx="499">
                  <c:v>-6.8036404778597532</c:v>
                </c:pt>
                <c:pt idx="500">
                  <c:v>-6.8051281903886345</c:v>
                </c:pt>
                <c:pt idx="501">
                  <c:v>-6.8067719648430538</c:v>
                </c:pt>
                <c:pt idx="502">
                  <c:v>-6.8085752043808707</c:v>
                </c:pt>
                <c:pt idx="503">
                  <c:v>-6.8105416201147921</c:v>
                </c:pt>
                <c:pt idx="504">
                  <c:v>-6.8126752380638758</c:v>
                </c:pt>
                <c:pt idx="505">
                  <c:v>-6.8149804065252164</c:v>
                </c:pt>
                <c:pt idx="506">
                  <c:v>-6.8174618038734858</c:v>
                </c:pt>
                <c:pt idx="507">
                  <c:v>-6.8201244467925104</c:v>
                </c:pt>
                <c:pt idx="508">
                  <c:v>-6.8229736989460568</c:v>
                </c:pt>
                <c:pt idx="509">
                  <c:v>-6.8260152800896732</c:v>
                </c:pt>
                <c:pt idx="510">
                  <c:v>-6.8292552756278084</c:v>
                </c:pt>
                <c:pt idx="511">
                  <c:v>-6.832700146616558</c:v>
                </c:pt>
                <c:pt idx="512">
                  <c:v>-6.8363567402133771</c:v>
                </c:pt>
                <c:pt idx="513">
                  <c:v>-6.840232300571671</c:v>
                </c:pt>
                <c:pt idx="514">
                  <c:v>-6.8443344801776727</c:v>
                </c:pt>
                <c:pt idx="515">
                  <c:v>-6.8486713516250504</c:v>
                </c:pt>
                <c:pt idx="516">
                  <c:v>-6.8532514198214205</c:v>
                </c:pt>
                <c:pt idx="517">
                  <c:v>-6.8580836346168708</c:v>
                </c:pt>
                <c:pt idx="518">
                  <c:v>-6.8631774038454862</c:v>
                </c:pt>
                <c:pt idx="519">
                  <c:v>-6.8685426067654447</c:v>
                </c:pt>
                <c:pt idx="520">
                  <c:v>-6.8741896078825704</c:v>
                </c:pt>
                <c:pt idx="521">
                  <c:v>-6.8801292711384923</c:v>
                </c:pt>
                <c:pt idx="522">
                  <c:v>-6.8863729744410769</c:v>
                </c:pt>
                <c:pt idx="523">
                  <c:v>-6.8929326245126399</c:v>
                </c:pt>
                <c:pt idx="524">
                  <c:v>-6.8998206720265003</c:v>
                </c:pt>
                <c:pt idx="525">
                  <c:v>-6.9070501269992626</c:v>
                </c:pt>
                <c:pt idx="526">
                  <c:v>-6.9146345744009974</c:v>
                </c:pt>
                <c:pt idx="527">
                  <c:v>-6.9225881899423367</c:v>
                </c:pt>
                <c:pt idx="528">
                  <c:v>-6.9309257559914474</c:v>
                </c:pt>
                <c:pt idx="529">
                  <c:v>-6.9396626775687844</c:v>
                </c:pt>
                <c:pt idx="530">
                  <c:v>-6.9488149983618612</c:v>
                </c:pt>
                <c:pt idx="531">
                  <c:v>-6.958399416697862</c:v>
                </c:pt>
                <c:pt idx="532">
                  <c:v>-6.9684333014024595</c:v>
                </c:pt>
                <c:pt idx="533">
                  <c:v>-6.9789347074701134</c:v>
                </c:pt>
                <c:pt idx="534">
                  <c:v>-6.9899223914619348</c:v>
                </c:pt>
                <c:pt idx="535">
                  <c:v>-7.0014158265410398</c:v>
                </c:pt>
                <c:pt idx="536">
                  <c:v>-7.0134352170467622</c:v>
                </c:pt>
                <c:pt idx="537">
                  <c:v>-7.0260015125032211</c:v>
                </c:pt>
                <c:pt idx="538">
                  <c:v>-7.039136420947095</c:v>
                </c:pt>
                <c:pt idx="539">
                  <c:v>-7.0528624214540114</c:v>
                </c:pt>
                <c:pt idx="540">
                  <c:v>-7.0672027757328939</c:v>
                </c:pt>
                <c:pt idx="541">
                  <c:v>-7.0821815386487383</c:v>
                </c:pt>
              </c:numCache>
            </c:numRef>
          </c:yVal>
          <c:smooth val="1"/>
          <c:extLst>
            <c:ext xmlns:c16="http://schemas.microsoft.com/office/drawing/2014/chart" uri="{C3380CC4-5D6E-409C-BE32-E72D297353CC}">
              <c16:uniqueId val="{00000000-69E5-488F-8178-EA81D5C894E7}"/>
            </c:ext>
          </c:extLst>
        </c:ser>
        <c:dLbls>
          <c:showLegendKey val="0"/>
          <c:showVal val="0"/>
          <c:showCatName val="0"/>
          <c:showSerName val="0"/>
          <c:showPercent val="0"/>
          <c:showBubbleSize val="0"/>
        </c:dLbls>
        <c:axId val="555231872"/>
        <c:axId val="55523404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-0.89123241608011583</c:v>
                </c:pt>
                <c:pt idx="1">
                  <c:v>-0.91198841492199734</c:v>
                </c:pt>
                <c:pt idx="2">
                  <c:v>-0.93322763489716287</c:v>
                </c:pt>
                <c:pt idx="3">
                  <c:v>-0.95496131392788408</c:v>
                </c:pt>
                <c:pt idx="4">
                  <c:v>-0.97720095043303856</c:v>
                </c:pt>
                <c:pt idx="5">
                  <c:v>-0.999958309305224</c:v>
                </c:pt>
                <c:pt idx="6">
                  <c:v>-1.0232454280206407</c:v>
                </c:pt>
                <c:pt idx="7">
                  <c:v>-1.0470746228843897</c:v>
                </c:pt>
                <c:pt idx="8">
                  <c:v>-1.0714584954137973</c:v>
                </c:pt>
                <c:pt idx="9">
                  <c:v>-1.0964099388624411</c:v>
                </c:pt>
                <c:pt idx="10">
                  <c:v>-1.1219421448877152</c:v>
                </c:pt>
                <c:pt idx="11">
                  <c:v>-1.1480686103644413</c:v>
                </c:pt>
                <c:pt idx="12">
                  <c:v>-1.1748031443475653</c:v>
                </c:pt>
                <c:pt idx="13">
                  <c:v>-1.202159875186414</c:v>
                </c:pt>
                <c:pt idx="14">
                  <c:v>-1.2301532577935366</c:v>
                </c:pt>
                <c:pt idx="15">
                  <c:v>-1.2587980810708279</c:v>
                </c:pt>
                <c:pt idx="16">
                  <c:v>-1.2881094754957225</c:v>
                </c:pt>
                <c:pt idx="17">
                  <c:v>-1.3181029208703432</c:v>
                </c:pt>
                <c:pt idx="18">
                  <c:v>-1.3487942542363056</c:v>
                </c:pt>
                <c:pt idx="19">
                  <c:v>-1.3801996779581838</c:v>
                </c:pt>
                <c:pt idx="20">
                  <c:v>-1.4123357679781832</c:v>
                </c:pt>
                <c:pt idx="21">
                  <c:v>-1.4452194822450406</c:v>
                </c:pt>
                <c:pt idx="22">
                  <c:v>-1.4788681693197072</c:v>
                </c:pt>
                <c:pt idx="23">
                  <c:v>-1.5132995771607942</c:v>
                </c:pt>
                <c:pt idx="24">
                  <c:v>-1.5485318620922115</c:v>
                </c:pt>
                <c:pt idx="25">
                  <c:v>-1.584583597955928</c:v>
                </c:pt>
                <c:pt idx="26">
                  <c:v>-1.6214737854521875</c:v>
                </c:pt>
                <c:pt idx="27">
                  <c:v>-1.659221861670104</c:v>
                </c:pt>
                <c:pt idx="28">
                  <c:v>-1.6978477098106566</c:v>
                </c:pt>
                <c:pt idx="29">
                  <c:v>-1.7373716691049359</c:v>
                </c:pt>
                <c:pt idx="30">
                  <c:v>-1.7778145449296616</c:v>
                </c:pt>
                <c:pt idx="31">
                  <c:v>-1.8191976191223009</c:v>
                </c:pt>
                <c:pt idx="32">
                  <c:v>-1.861542660497848</c:v>
                </c:pt>
                <c:pt idx="33">
                  <c:v>-1.9048719355693509</c:v>
                </c:pt>
                <c:pt idx="34">
                  <c:v>-1.9492082194736935</c:v>
                </c:pt>
                <c:pt idx="35">
                  <c:v>-1.9945748071046947</c:v>
                </c:pt>
                <c:pt idx="36">
                  <c:v>-2.0409955244547535</c:v>
                </c:pt>
                <c:pt idx="37">
                  <c:v>-2.0884947401662308</c:v>
                </c:pt>
                <c:pt idx="38">
                  <c:v>-2.1370973772940256</c:v>
                </c:pt>
                <c:pt idx="39">
                  <c:v>-2.1868289252795239</c:v>
                </c:pt>
                <c:pt idx="40">
                  <c:v>-2.2377154521371647</c:v>
                </c:pt>
                <c:pt idx="41">
                  <c:v>-2.2897836168532697</c:v>
                </c:pt>
                <c:pt idx="42">
                  <c:v>-2.3430606819975814</c:v>
                </c:pt>
                <c:pt idx="43">
                  <c:v>-2.3975745265464901</c:v>
                </c:pt>
                <c:pt idx="44">
                  <c:v>-2.4533536589177736</c:v>
                </c:pt>
                <c:pt idx="45">
                  <c:v>-2.5104272302151998</c:v>
                </c:pt>
                <c:pt idx="46">
                  <c:v>-2.5688250476814094</c:v>
                </c:pt>
                <c:pt idx="47">
                  <c:v>-2.6285775883570404</c:v>
                </c:pt>
                <c:pt idx="48">
                  <c:v>-2.6897160129430682</c:v>
                </c:pt>
                <c:pt idx="49">
                  <c:v>-2.7522721798635641</c:v>
                </c:pt>
                <c:pt idx="50">
                  <c:v>-2.8162786595243285</c:v>
                </c:pt>
                <c:pt idx="51">
                  <c:v>-2.8817687487634047</c:v>
                </c:pt>
                <c:pt idx="52">
                  <c:v>-2.9487764854875587</c:v>
                </c:pt>
                <c:pt idx="53">
                  <c:v>-3.0173366634892269</c:v>
                </c:pt>
                <c:pt idx="54">
                  <c:v>-3.0874848474361833</c:v>
                </c:pt>
                <c:pt idx="55">
                  <c:v>-3.1592573880265924</c:v>
                </c:pt>
                <c:pt idx="56">
                  <c:v>-3.2326914373003799</c:v>
                </c:pt>
                <c:pt idx="57">
                  <c:v>-3.307824964096691</c:v>
                </c:pt>
                <c:pt idx="58">
                  <c:v>-3.3846967696465722</c:v>
                </c:pt>
                <c:pt idx="59">
                  <c:v>-3.4633465032882746</c:v>
                </c:pt>
                <c:pt idx="60">
                  <c:v>-3.5438146782916093</c:v>
                </c:pt>
                <c:pt idx="61">
                  <c:v>-3.6261426877759924</c:v>
                </c:pt>
                <c:pt idx="62">
                  <c:v>-3.7103728207056368</c:v>
                </c:pt>
                <c:pt idx="63">
                  <c:v>-3.7965482779434852</c:v>
                </c:pt>
                <c:pt idx="64">
                  <c:v>-3.884713188343782</c:v>
                </c:pt>
                <c:pt idx="65">
                  <c:v>-3.9749126248610454</c:v>
                </c:pt>
                <c:pt idx="66">
                  <c:v>-4.0671926206518805</c:v>
                </c:pt>
                <c:pt idx="67">
                  <c:v>-4.1616001851429365</c:v>
                </c:pt>
                <c:pt idx="68">
                  <c:v>-4.2581833200367338</c:v>
                </c:pt>
                <c:pt idx="69">
                  <c:v>-4.3569910352243264</c:v>
                </c:pt>
                <c:pt idx="70">
                  <c:v>-4.4580733645714359</c:v>
                </c:pt>
                <c:pt idx="71">
                  <c:v>-4.5614813815409114</c:v>
                </c:pt>
                <c:pt idx="72">
                  <c:v>-4.6672672146130028</c:v>
                </c:pt>
                <c:pt idx="73">
                  <c:v>-4.77548406246017</c:v>
                </c:pt>
                <c:pt idx="74">
                  <c:v>-4.8861862088308676</c:v>
                </c:pt>
                <c:pt idx="75">
                  <c:v>-4.9994290370920709</c:v>
                </c:pt>
                <c:pt idx="76">
                  <c:v>-5.1152690443782598</c:v>
                </c:pt>
                <c:pt idx="77">
                  <c:v>-5.2337638552876919</c:v>
                </c:pt>
                <c:pt idx="78">
                  <c:v>-5.3549722350660343</c:v>
                </c:pt>
                <c:pt idx="79">
                  <c:v>-5.4789541022092374</c:v>
                </c:pt>
                <c:pt idx="80">
                  <c:v>-5.6057705404158593</c:v>
                </c:pt>
                <c:pt idx="81">
                  <c:v>-5.7354838098112575</c:v>
                </c:pt>
                <c:pt idx="82">
                  <c:v>-5.8681573573630361</c:v>
                </c:pt>
                <c:pt idx="83">
                  <c:v>-6.00385582639964</c:v>
                </c:pt>
                <c:pt idx="84">
                  <c:v>-6.1426450651382689</c:v>
                </c:pt>
                <c:pt idx="85">
                  <c:v>-6.2845921341237698</c:v>
                </c:pt>
                <c:pt idx="86">
                  <c:v>-6.4297653124701792</c:v>
                </c:pt>
                <c:pt idx="87">
                  <c:v>-6.5782341027931643</c:v>
                </c:pt>
                <c:pt idx="88">
                  <c:v>-6.730069234710828</c:v>
                </c:pt>
                <c:pt idx="89">
                  <c:v>-6.885342666786312</c:v>
                </c:pt>
                <c:pt idx="90">
                  <c:v>-7.0441275867743105</c:v>
                </c:pt>
                <c:pt idx="91">
                  <c:v>-7.2064984100264562</c:v>
                </c:pt>
                <c:pt idx="92">
                  <c:v>-7.37253077590342</c:v>
                </c:pt>
                <c:pt idx="93">
                  <c:v>-7.5423015420291977</c:v>
                </c:pt>
                <c:pt idx="94">
                  <c:v>-7.7158887762163184</c:v>
                </c:pt>
                <c:pt idx="95">
                  <c:v>-7.8933717458797323</c:v>
                </c:pt>
                <c:pt idx="96">
                  <c:v>-8.0748309047482678</c:v>
                </c:pt>
                <c:pt idx="97">
                  <c:v>-8.260347876668563</c:v>
                </c:pt>
                <c:pt idx="98">
                  <c:v>-8.4500054362922903</c:v>
                </c:pt>
                <c:pt idx="99">
                  <c:v>-8.643887486418274</c:v>
                </c:pt>
                <c:pt idx="100">
                  <c:v>-8.8420790317581393</c:v>
                </c:pt>
                <c:pt idx="101">
                  <c:v>-9.0446661488766456</c:v>
                </c:pt>
                <c:pt idx="102">
                  <c:v>-9.2517359520486799</c:v>
                </c:pt>
                <c:pt idx="103">
                  <c:v>-9.463376554765663</c:v>
                </c:pt>
                <c:pt idx="104">
                  <c:v>-9.6796770266077719</c:v>
                </c:pt>
                <c:pt idx="105">
                  <c:v>-9.9007273451907984</c:v>
                </c:pt>
                <c:pt idx="106">
                  <c:v>-10.12661834288528</c:v>
                </c:pt>
                <c:pt idx="107">
                  <c:v>-10.357441647990374</c:v>
                </c:pt>
                <c:pt idx="108">
                  <c:v>-10.593289620041032</c:v>
                </c:pt>
                <c:pt idx="109">
                  <c:v>-10.834255278909867</c:v>
                </c:pt>
                <c:pt idx="110">
                  <c:v>-11.080432227362744</c:v>
                </c:pt>
                <c:pt idx="111">
                  <c:v>-11.331914566711976</c:v>
                </c:pt>
                <c:pt idx="112">
                  <c:v>-11.588796805209263</c:v>
                </c:pt>
                <c:pt idx="113">
                  <c:v>-11.851173758810376</c:v>
                </c:pt>
                <c:pt idx="114">
                  <c:v>-12.119140443940905</c:v>
                </c:pt>
                <c:pt idx="115">
                  <c:v>-12.392791961888186</c:v>
                </c:pt>
                <c:pt idx="116">
                  <c:v>-12.67222337444416</c:v>
                </c:pt>
                <c:pt idx="117">
                  <c:v>-12.95752957042485</c:v>
                </c:pt>
                <c:pt idx="118">
                  <c:v>-13.24880512269554</c:v>
                </c:pt>
                <c:pt idx="119">
                  <c:v>-13.54614413533735</c:v>
                </c:pt>
                <c:pt idx="120">
                  <c:v>-13.849640080600928</c:v>
                </c:pt>
                <c:pt idx="121">
                  <c:v>-14.159385625306918</c:v>
                </c:pt>
                <c:pt idx="122">
                  <c:v>-14.475472446368226</c:v>
                </c:pt>
                <c:pt idx="123">
                  <c:v>-14.797991035133618</c:v>
                </c:pt>
                <c:pt idx="124">
                  <c:v>-15.127030490276614</c:v>
                </c:pt>
                <c:pt idx="125">
                  <c:v>-15.462678298986404</c:v>
                </c:pt>
                <c:pt idx="126">
                  <c:v>-15.805020106255492</c:v>
                </c:pt>
                <c:pt idx="127">
                  <c:v>-16.154139472100319</c:v>
                </c:pt>
                <c:pt idx="128">
                  <c:v>-16.510117616602876</c:v>
                </c:pt>
                <c:pt idx="129">
                  <c:v>-16.873033152721558</c:v>
                </c:pt>
                <c:pt idx="130">
                  <c:v>-17.242961806873886</c:v>
                </c:pt>
                <c:pt idx="131">
                  <c:v>-17.619976127379619</c:v>
                </c:pt>
                <c:pt idx="132">
                  <c:v>-18.004145180920279</c:v>
                </c:pt>
                <c:pt idx="133">
                  <c:v>-18.395534237269167</c:v>
                </c:pt>
                <c:pt idx="134">
                  <c:v>-18.794204442636051</c:v>
                </c:pt>
                <c:pt idx="135">
                  <c:v>-19.200212482080449</c:v>
                </c:pt>
                <c:pt idx="136">
                  <c:v>-19.61361023156028</c:v>
                </c:pt>
                <c:pt idx="137">
                  <c:v>-20.034444400305059</c:v>
                </c:pt>
                <c:pt idx="138">
                  <c:v>-20.462756164333179</c:v>
                </c:pt>
                <c:pt idx="139">
                  <c:v>-20.898580792074764</c:v>
                </c:pt>
                <c:pt idx="140">
                  <c:v>-21.341947263203856</c:v>
                </c:pt>
                <c:pt idx="141">
                  <c:v>-21.792877881940047</c:v>
                </c:pt>
                <c:pt idx="142">
                  <c:v>-22.251387886235349</c:v>
                </c:pt>
                <c:pt idx="143">
                  <c:v>-22.717485054427847</c:v>
                </c:pt>
                <c:pt idx="144">
                  <c:v>-23.191169311109739</c:v>
                </c:pt>
                <c:pt idx="145">
                  <c:v>-23.672432334123439</c:v>
                </c:pt>
                <c:pt idx="146">
                  <c:v>-24.16125716476807</c:v>
                </c:pt>
                <c:pt idx="147">
                  <c:v>-24.657617823467174</c:v>
                </c:pt>
                <c:pt idx="148">
                  <c:v>-25.161478933302284</c:v>
                </c:pt>
                <c:pt idx="149">
                  <c:v>-25.672795353977556</c:v>
                </c:pt>
                <c:pt idx="150">
                  <c:v>-26.19151182891876</c:v>
                </c:pt>
                <c:pt idx="151">
                  <c:v>-26.717562648342675</c:v>
                </c:pt>
                <c:pt idx="152">
                  <c:v>-27.250871331244284</c:v>
                </c:pt>
                <c:pt idx="153">
                  <c:v>-27.791350329349758</c:v>
                </c:pt>
                <c:pt idx="154">
                  <c:v>-28.338900756142468</c:v>
                </c:pt>
                <c:pt idx="155">
                  <c:v>-28.893412144130483</c:v>
                </c:pt>
                <c:pt idx="156">
                  <c:v>-29.454762233527074</c:v>
                </c:pt>
                <c:pt idx="157">
                  <c:v>-30.022816795505541</c:v>
                </c:pt>
                <c:pt idx="158">
                  <c:v>-30.597429493137337</c:v>
                </c:pt>
                <c:pt idx="159">
                  <c:v>-31.178441783029324</c:v>
                </c:pt>
                <c:pt idx="160">
                  <c:v>-31.765682860550946</c:v>
                </c:pt>
                <c:pt idx="161">
                  <c:v>-32.358969651364575</c:v>
                </c:pt>
                <c:pt idx="162">
                  <c:v>-32.958106851762388</c:v>
                </c:pt>
                <c:pt idx="163">
                  <c:v>-33.56288702004958</c:v>
                </c:pt>
                <c:pt idx="164">
                  <c:v>-34.173090720919092</c:v>
                </c:pt>
                <c:pt idx="165">
                  <c:v>-34.788486724408848</c:v>
                </c:pt>
                <c:pt idx="166">
                  <c:v>-35.408832260662628</c:v>
                </c:pt>
                <c:pt idx="167">
                  <c:v>-36.033873331282678</c:v>
                </c:pt>
                <c:pt idx="168">
                  <c:v>-36.663345077615666</c:v>
                </c:pt>
                <c:pt idx="169">
                  <c:v>-37.296972205830834</c:v>
                </c:pt>
                <c:pt idx="170">
                  <c:v>-37.934469468139469</c:v>
                </c:pt>
                <c:pt idx="171">
                  <c:v>-38.575542198987264</c:v>
                </c:pt>
                <c:pt idx="172">
                  <c:v>-39.21988690451871</c:v>
                </c:pt>
                <c:pt idx="173">
                  <c:v>-39.867191903078641</c:v>
                </c:pt>
                <c:pt idx="174">
                  <c:v>-40.517138013986568</c:v>
                </c:pt>
                <c:pt idx="175">
                  <c:v>-41.169399291313511</c:v>
                </c:pt>
                <c:pt idx="176">
                  <c:v>-41.82364379889183</c:v>
                </c:pt>
                <c:pt idx="177">
                  <c:v>-42.47953442233765</c:v>
                </c:pt>
                <c:pt idx="178">
                  <c:v>-43.136729713443501</c:v>
                </c:pt>
                <c:pt idx="179">
                  <c:v>-43.794884761924003</c:v>
                </c:pt>
                <c:pt idx="180">
                  <c:v>-44.453652089180423</c:v>
                </c:pt>
                <c:pt idx="181">
                  <c:v>-45.112682558493368</c:v>
                </c:pt>
                <c:pt idx="182">
                  <c:v>-45.771626295849401</c:v>
                </c:pt>
                <c:pt idx="183">
                  <c:v>-46.430133615490703</c:v>
                </c:pt>
                <c:pt idx="184">
                  <c:v>-47.087855944210652</c:v>
                </c:pt>
                <c:pt idx="185">
                  <c:v>-47.744446738442022</c:v>
                </c:pt>
                <c:pt idx="186">
                  <c:v>-48.39956238826236</c:v>
                </c:pt>
                <c:pt idx="187">
                  <c:v>-49.052863102604455</c:v>
                </c:pt>
                <c:pt idx="188">
                  <c:v>-49.704013770179074</c:v>
                </c:pt>
                <c:pt idx="189">
                  <c:v>-50.352684790899936</c:v>
                </c:pt>
                <c:pt idx="190">
                  <c:v>-50.998552872952217</c:v>
                </c:pt>
                <c:pt idx="191">
                  <c:v>-51.641301791025242</c:v>
                </c:pt>
                <c:pt idx="192">
                  <c:v>-52.280623101681606</c:v>
                </c:pt>
                <c:pt idx="193">
                  <c:v>-52.916216812295026</c:v>
                </c:pt>
                <c:pt idx="194">
                  <c:v>-53.547792000500095</c:v>
                </c:pt>
                <c:pt idx="195">
                  <c:v>-54.175067381608116</c:v>
                </c:pt>
                <c:pt idx="196">
                  <c:v>-54.797771821984291</c:v>
                </c:pt>
                <c:pt idx="197">
                  <c:v>-55.415644796900573</c:v>
                </c:pt>
                <c:pt idx="198">
                  <c:v>-56.028436791925756</c:v>
                </c:pt>
                <c:pt idx="199">
                  <c:v>-56.63590964741141</c:v>
                </c:pt>
                <c:pt idx="200">
                  <c:v>-57.237836846142798</c:v>
                </c:pt>
                <c:pt idx="201">
                  <c:v>-57.83400374468863</c:v>
                </c:pt>
                <c:pt idx="202">
                  <c:v>-58.424207749421882</c:v>
                </c:pt>
                <c:pt idx="203">
                  <c:v>-59.008258438598375</c:v>
                </c:pt>
                <c:pt idx="204">
                  <c:v>-59.585977632233664</c:v>
                </c:pt>
                <c:pt idx="205">
                  <c:v>-60.157199411859978</c:v>
                </c:pt>
                <c:pt idx="206">
                  <c:v>-60.72177009251422</c:v>
                </c:pt>
                <c:pt idx="207">
                  <c:v>-61.279548149561002</c:v>
                </c:pt>
                <c:pt idx="208">
                  <c:v>-61.830404103140204</c:v>
                </c:pt>
                <c:pt idx="209">
                  <c:v>-62.374220363193501</c:v>
                </c:pt>
                <c:pt idx="210">
                  <c:v>-62.910891038130721</c:v>
                </c:pt>
                <c:pt idx="211">
                  <c:v>-63.440321710270425</c:v>
                </c:pt>
                <c:pt idx="212">
                  <c:v>-63.96242918123324</c:v>
                </c:pt>
                <c:pt idx="213">
                  <c:v>-64.477141190458099</c:v>
                </c:pt>
                <c:pt idx="214">
                  <c:v>-64.9843961099956</c:v>
                </c:pt>
                <c:pt idx="215">
                  <c:v>-65.484142618662659</c:v>
                </c:pt>
                <c:pt idx="216">
                  <c:v>-65.976339358573981</c:v>
                </c:pt>
                <c:pt idx="217">
                  <c:v>-66.460954576953682</c:v>
                </c:pt>
                <c:pt idx="218">
                  <c:v>-66.937965756015586</c:v>
                </c:pt>
                <c:pt idx="219">
                  <c:v>-67.407359233560626</c:v>
                </c:pt>
                <c:pt idx="220">
                  <c:v>-67.869129816795891</c:v>
                </c:pt>
                <c:pt idx="221">
                  <c:v>-68.323280391722335</c:v>
                </c:pt>
                <c:pt idx="222">
                  <c:v>-68.76982153027221</c:v>
                </c:pt>
                <c:pt idx="223">
                  <c:v>-69.208771097219881</c:v>
                </c:pt>
                <c:pt idx="224">
                  <c:v>-69.640153858708999</c:v>
                </c:pt>
                <c:pt idx="225">
                  <c:v>-70.064001094084844</c:v>
                </c:pt>
                <c:pt idx="226">
                  <c:v>-70.480350212548657</c:v>
                </c:pt>
                <c:pt idx="227">
                  <c:v>-70.889244375988667</c:v>
                </c:pt>
                <c:pt idx="228">
                  <c:v>-71.290732129191426</c:v>
                </c:pt>
                <c:pt idx="229">
                  <c:v>-71.684867038486729</c:v>
                </c:pt>
                <c:pt idx="230">
                  <c:v>-72.071707339729912</c:v>
                </c:pt>
                <c:pt idx="231">
                  <c:v>-72.451315596400661</c:v>
                </c:pt>
                <c:pt idx="232">
                  <c:v>-72.82375836846191</c:v>
                </c:pt>
                <c:pt idx="233">
                  <c:v>-73.189105892508579</c:v>
                </c:pt>
                <c:pt idx="234">
                  <c:v>-73.547431773625149</c:v>
                </c:pt>
                <c:pt idx="235">
                  <c:v>-73.898812689268055</c:v>
                </c:pt>
                <c:pt idx="236">
                  <c:v>-74.243328105398732</c:v>
                </c:pt>
                <c:pt idx="237">
                  <c:v>-74.581060005009746</c:v>
                </c:pt>
                <c:pt idx="238">
                  <c:v>-74.912092629105715</c:v>
                </c:pt>
                <c:pt idx="239">
                  <c:v>-75.236512230139084</c:v>
                </c:pt>
                <c:pt idx="240">
                  <c:v>-75.554406837836808</c:v>
                </c:pt>
                <c:pt idx="241">
                  <c:v>-75.865866037302013</c:v>
                </c:pt>
                <c:pt idx="242">
                  <c:v>-76.17098075922874</c:v>
                </c:pt>
                <c:pt idx="243">
                  <c:v>-76.469843082027495</c:v>
                </c:pt>
                <c:pt idx="244">
                  <c:v>-76.762546045627346</c:v>
                </c:pt>
                <c:pt idx="245">
                  <c:v>-77.049183476690402</c:v>
                </c:pt>
                <c:pt idx="246">
                  <c:v>-77.329849824951694</c:v>
                </c:pt>
                <c:pt idx="247">
                  <c:v>-77.604640010381232</c:v>
                </c:pt>
                <c:pt idx="248">
                  <c:v>-77.873649280848369</c:v>
                </c:pt>
                <c:pt idx="249">
                  <c:v>-78.136973079960782</c:v>
                </c:pt>
                <c:pt idx="250">
                  <c:v>-78.394706924743289</c:v>
                </c:pt>
                <c:pt idx="251">
                  <c:v>-78.646946292817248</c:v>
                </c:pt>
                <c:pt idx="252">
                  <c:v>-78.893786518743767</c:v>
                </c:pt>
                <c:pt idx="253">
                  <c:v>-79.135322699193154</c:v>
                </c:pt>
                <c:pt idx="254">
                  <c:v>-79.371649606609594</c:v>
                </c:pt>
                <c:pt idx="255">
                  <c:v>-79.602861611045299</c:v>
                </c:pt>
                <c:pt idx="256">
                  <c:v>-79.829052609847025</c:v>
                </c:pt>
                <c:pt idx="257">
                  <c:v>-80.050315964888071</c:v>
                </c:pt>
                <c:pt idx="258">
                  <c:v>-80.266744447048495</c:v>
                </c:pt>
                <c:pt idx="259">
                  <c:v>-80.478430187659896</c:v>
                </c:pt>
                <c:pt idx="260">
                  <c:v>-80.685464636643204</c:v>
                </c:pt>
                <c:pt idx="261">
                  <c:v>-80.887938527082156</c:v>
                </c:pt>
                <c:pt idx="262">
                  <c:v>-81.085941845989211</c:v>
                </c:pt>
                <c:pt idx="263">
                  <c:v>-81.27956381103688</c:v>
                </c:pt>
                <c:pt idx="264">
                  <c:v>-81.468892853041211</c:v>
                </c:pt>
                <c:pt idx="265">
                  <c:v>-81.654016604000745</c:v>
                </c:pt>
                <c:pt idx="266">
                  <c:v>-81.835021890511172</c:v>
                </c:pt>
                <c:pt idx="267">
                  <c:v>-82.011994732390292</c:v>
                </c:pt>
                <c:pt idx="268">
                  <c:v>-82.185020346365434</c:v>
                </c:pt>
                <c:pt idx="269">
                  <c:v>-82.354183154691512</c:v>
                </c:pt>
                <c:pt idx="270">
                  <c:v>-82.519566798584151</c:v>
                </c:pt>
                <c:pt idx="271">
                  <c:v>-82.68125415636851</c:v>
                </c:pt>
                <c:pt idx="272">
                  <c:v>-82.839327366259823</c:v>
                </c:pt>
                <c:pt idx="273">
                  <c:v>-82.993867853710512</c:v>
                </c:pt>
                <c:pt idx="274">
                  <c:v>-83.144956363269642</c:v>
                </c:pt>
                <c:pt idx="275">
                  <c:v>-83.292672994921276</c:v>
                </c:pt>
                <c:pt idx="276">
                  <c:v>-83.437097244880036</c:v>
                </c:pt>
                <c:pt idx="277">
                  <c:v>-83.578308050839169</c:v>
                </c:pt>
                <c:pt idx="278">
                  <c:v>-83.716383841679772</c:v>
                </c:pt>
                <c:pt idx="279">
                  <c:v>-83.85140259166576</c:v>
                </c:pt>
                <c:pt idx="280">
                  <c:v>-83.983441879161845</c:v>
                </c:pt>
                <c:pt idx="281">
                  <c:v>-84.11257894992562</c:v>
                </c:pt>
                <c:pt idx="282">
                  <c:v>-84.23889078503889</c:v>
                </c:pt>
                <c:pt idx="283">
                  <c:v>-84.362454173554255</c:v>
                </c:pt>
                <c:pt idx="284">
                  <c:v>-84.483345789945332</c:v>
                </c:pt>
                <c:pt idx="285">
                  <c:v>-84.601642276460936</c:v>
                </c:pt>
                <c:pt idx="286">
                  <c:v>-84.717420330492885</c:v>
                </c:pt>
                <c:pt idx="287">
                  <c:v>-84.830756797076049</c:v>
                </c:pt>
                <c:pt idx="288">
                  <c:v>-84.941728766649049</c:v>
                </c:pt>
                <c:pt idx="289">
                  <c:v>-85.050413678209523</c:v>
                </c:pt>
                <c:pt idx="290">
                  <c:v>-85.156889428005414</c:v>
                </c:pt>
                <c:pt idx="291">
                  <c:v>-85.26123448390598</c:v>
                </c:pt>
                <c:pt idx="292">
                  <c:v>-85.363528005602504</c:v>
                </c:pt>
                <c:pt idx="293">
                  <c:v>-85.463849970784054</c:v>
                </c:pt>
                <c:pt idx="294">
                  <c:v>-85.562281307440145</c:v>
                </c:pt>
                <c:pt idx="295">
                  <c:v>-85.658904032431536</c:v>
                </c:pt>
                <c:pt idx="296">
                  <c:v>-85.753801396469314</c:v>
                </c:pt>
                <c:pt idx="297">
                  <c:v>-85.847058035632145</c:v>
                </c:pt>
                <c:pt idx="298">
                  <c:v>-85.938760129540185</c:v>
                </c:pt>
                <c:pt idx="299">
                  <c:v>-86.028995566289893</c:v>
                </c:pt>
                <c:pt idx="300">
                  <c:v>-86.117854114233438</c:v>
                </c:pt>
                <c:pt idx="301">
                  <c:v>-86.205427600667505</c:v>
                </c:pt>
                <c:pt idx="302">
                  <c:v>-86.291810097464264</c:v>
                </c:pt>
                <c:pt idx="303">
                  <c:v>-86.37709811365103</c:v>
                </c:pt>
                <c:pt idx="304">
                  <c:v>-86.461390794904332</c:v>
                </c:pt>
                <c:pt idx="305">
                  <c:v>-86.544790129883893</c:v>
                </c:pt>
                <c:pt idx="306">
                  <c:v>-86.627401163282542</c:v>
                </c:pt>
                <c:pt idx="307">
                  <c:v>-86.70933221541658</c:v>
                </c:pt>
                <c:pt idx="308">
                  <c:v>-86.790695108115898</c:v>
                </c:pt>
                <c:pt idx="309">
                  <c:v>-86.871605396608658</c:v>
                </c:pt>
                <c:pt idx="310">
                  <c:v>-86.952182607019338</c:v>
                </c:pt>
                <c:pt idx="311">
                  <c:v>-87.032550479014702</c:v>
                </c:pt>
                <c:pt idx="312">
                  <c:v>-87.112837213043818</c:v>
                </c:pt>
                <c:pt idx="313">
                  <c:v>-87.19317572151796</c:v>
                </c:pt>
                <c:pt idx="314">
                  <c:v>-87.273703883168736</c:v>
                </c:pt>
                <c:pt idx="315">
                  <c:v>-87.354564799712264</c:v>
                </c:pt>
                <c:pt idx="316">
                  <c:v>-87.435907053816791</c:v>
                </c:pt>
                <c:pt idx="317">
                  <c:v>-87.517884967247625</c:v>
                </c:pt>
                <c:pt idx="318">
                  <c:v>-87.600658857920862</c:v>
                </c:pt>
                <c:pt idx="319">
                  <c:v>-87.684395294450795</c:v>
                </c:pt>
                <c:pt idx="320">
                  <c:v>-87.769267346629235</c:v>
                </c:pt>
                <c:pt idx="321">
                  <c:v>-87.855454830112151</c:v>
                </c:pt>
                <c:pt idx="322">
                  <c:v>-87.943144543429511</c:v>
                </c:pt>
                <c:pt idx="323">
                  <c:v>-88.032530495272184</c:v>
                </c:pt>
                <c:pt idx="324">
                  <c:v>-88.1238141198383</c:v>
                </c:pt>
                <c:pt idx="325">
                  <c:v>-88.217204477860292</c:v>
                </c:pt>
                <c:pt idx="326">
                  <c:v>-88.312918440766822</c:v>
                </c:pt>
                <c:pt idx="327">
                  <c:v>-88.411180855279341</c:v>
                </c:pt>
                <c:pt idx="328">
                  <c:v>-88.512224685585537</c:v>
                </c:pt>
                <c:pt idx="329">
                  <c:v>-88.61629113009981</c:v>
                </c:pt>
                <c:pt idx="330">
                  <c:v>-88.723629709682584</c:v>
                </c:pt>
                <c:pt idx="331">
                  <c:v>-88.834498324091413</c:v>
                </c:pt>
                <c:pt idx="332">
                  <c:v>-88.94916327333587</c:v>
                </c:pt>
                <c:pt idx="333">
                  <c:v>-89.067899240551782</c:v>
                </c:pt>
                <c:pt idx="334">
                  <c:v>-89.190989232964</c:v>
                </c:pt>
                <c:pt idx="335">
                  <c:v>-89.318724477509392</c:v>
                </c:pt>
                <c:pt idx="336">
                  <c:v>-89.451404267712505</c:v>
                </c:pt>
                <c:pt idx="337">
                  <c:v>-89.589335758485987</c:v>
                </c:pt>
                <c:pt idx="338">
                  <c:v>-89.732833705630469</c:v>
                </c:pt>
                <c:pt idx="339">
                  <c:v>-89.882220146975854</c:v>
                </c:pt>
                <c:pt idx="340">
                  <c:v>-90.03782402230992</c:v>
                </c:pt>
                <c:pt idx="341">
                  <c:v>-90.199980729501164</c:v>
                </c:pt>
                <c:pt idx="342">
                  <c:v>-90.369031614539466</c:v>
                </c:pt>
                <c:pt idx="343">
                  <c:v>-90.545323393581342</c:v>
                </c:pt>
                <c:pt idx="344">
                  <c:v>-90.729207505516683</c:v>
                </c:pt>
                <c:pt idx="345">
                  <c:v>-90.921039394044556</c:v>
                </c:pt>
                <c:pt idx="346">
                  <c:v>-91.121177718781908</c:v>
                </c:pt>
                <c:pt idx="347">
                  <c:v>-91.329983495503981</c:v>
                </c:pt>
                <c:pt idx="348">
                  <c:v>-91.547819166244324</c:v>
                </c:pt>
                <c:pt idx="349">
                  <c:v>-91.775047600648492</c:v>
                </c:pt>
                <c:pt idx="350">
                  <c:v>-92.012031030674279</c:v>
                </c:pt>
                <c:pt idx="351">
                  <c:v>-92.259129921463767</c:v>
                </c:pt>
                <c:pt idx="352">
                  <c:v>-92.516701781959753</c:v>
                </c:pt>
                <c:pt idx="353">
                  <c:v>-92.78509991959497</c:v>
                </c:pt>
                <c:pt idx="354">
                  <c:v>-93.064672144142932</c:v>
                </c:pt>
                <c:pt idx="355">
                  <c:v>-93.355759426565712</c:v>
                </c:pt>
                <c:pt idx="356">
                  <c:v>-93.658694519418248</c:v>
                </c:pt>
                <c:pt idx="357">
                  <c:v>-93.973800546061099</c:v>
                </c:pt>
                <c:pt idx="358">
                  <c:v>-94.301389566578834</c:v>
                </c:pt>
                <c:pt idx="359">
                  <c:v>-94.641761128891204</c:v>
                </c:pt>
                <c:pt idx="360">
                  <c:v>-94.995200814069307</c:v>
                </c:pt>
                <c:pt idx="361">
                  <c:v>-95.3619787853075</c:v>
                </c:pt>
                <c:pt idx="362">
                  <c:v>-95.74234835036772</c:v>
                </c:pt>
                <c:pt idx="363">
                  <c:v>-96.136544547567553</c:v>
                </c:pt>
                <c:pt idx="364">
                  <c:v>-96.544782765554061</c:v>
                </c:pt>
                <c:pt idx="365">
                  <c:v>-96.967257407145595</c:v>
                </c:pt>
                <c:pt idx="366">
                  <c:v>-97.404140607484536</c:v>
                </c:pt>
                <c:pt idx="367">
                  <c:v>-97.855581016559896</c:v>
                </c:pt>
                <c:pt idx="368">
                  <c:v>-98.321702655886071</c:v>
                </c:pt>
                <c:pt idx="369">
                  <c:v>-98.802603858728091</c:v>
                </c:pt>
                <c:pt idx="370">
                  <c:v>-99.298356302770742</c:v>
                </c:pt>
                <c:pt idx="371">
                  <c:v>-99.809004143523666</c:v>
                </c:pt>
                <c:pt idx="372">
                  <c:v>-100.33456325606504</c:v>
                </c:pt>
                <c:pt idx="373">
                  <c:v>-100.875020591948</c:v>
                </c:pt>
                <c:pt idx="374">
                  <c:v>-101.43033365723885</c:v>
                </c:pt>
                <c:pt idx="375">
                  <c:v>-102.00043011673743</c:v>
                </c:pt>
                <c:pt idx="376">
                  <c:v>-102.58520752846509</c:v>
                </c:pt>
                <c:pt idx="377">
                  <c:v>-103.18453321148606</c:v>
                </c:pt>
                <c:pt idx="378">
                  <c:v>-103.79824424909999</c:v>
                </c:pt>
                <c:pt idx="379">
                  <c:v>-104.4261476283863</c:v>
                </c:pt>
                <c:pt idx="380">
                  <c:v>-105.0680205160303</c:v>
                </c:pt>
                <c:pt idx="381">
                  <c:v>-105.72361066931599</c:v>
                </c:pt>
                <c:pt idx="382">
                  <c:v>-106.3926369801617</c:v>
                </c:pt>
                <c:pt idx="383">
                  <c:v>-107.07479014907139</c:v>
                </c:pt>
                <c:pt idx="384">
                  <c:v>-107.76973348495189</c:v>
                </c:pt>
                <c:pt idx="385">
                  <c:v>-108.47710382584398</c:v>
                </c:pt>
                <c:pt idx="386">
                  <c:v>-109.19651257479353</c:v>
                </c:pt>
                <c:pt idx="387">
                  <c:v>-109.92754684432481</c:v>
                </c:pt>
                <c:pt idx="388">
                  <c:v>-110.66977070228843</c:v>
                </c:pt>
                <c:pt idx="389">
                  <c:v>-111.422726511249</c:v>
                </c:pt>
                <c:pt idx="390">
                  <c:v>-112.18593635303036</c:v>
                </c:pt>
                <c:pt idx="391">
                  <c:v>-112.95890352960711</c:v>
                </c:pt>
                <c:pt idx="392">
                  <c:v>-113.74111413113584</c:v>
                </c:pt>
                <c:pt idx="393">
                  <c:v>-114.53203866164715</c:v>
                </c:pt>
                <c:pt idx="394">
                  <c:v>-115.33113371271135</c:v>
                </c:pt>
                <c:pt idx="395">
                  <c:v>-116.13784367525736</c:v>
                </c:pt>
                <c:pt idx="396">
                  <c:v>-116.95160247967652</c:v>
                </c:pt>
                <c:pt idx="397">
                  <c:v>-117.77183535437304</c:v>
                </c:pt>
                <c:pt idx="398">
                  <c:v>-118.59796059301149</c:v>
                </c:pt>
                <c:pt idx="399">
                  <c:v>-119.42939132088699</c:v>
                </c:pt>
                <c:pt idx="400">
                  <c:v>-120.26553725106312</c:v>
                </c:pt>
                <c:pt idx="401">
                  <c:v>-121.10580642123139</c:v>
                </c:pt>
                <c:pt idx="402">
                  <c:v>-121.94960690257432</c:v>
                </c:pt>
                <c:pt idx="403">
                  <c:v>-122.79634847234378</c:v>
                </c:pt>
                <c:pt idx="404">
                  <c:v>-123.64544424229908</c:v>
                </c:pt>
                <c:pt idx="405">
                  <c:v>-124.49631223565527</c:v>
                </c:pt>
                <c:pt idx="406">
                  <c:v>-125.34837690573677</c:v>
                </c:pt>
                <c:pt idx="407">
                  <c:v>-126.20107059009408</c:v>
                </c:pt>
                <c:pt idx="408">
                  <c:v>-127.05383489445761</c:v>
                </c:pt>
                <c:pt idx="409">
                  <c:v>-127.90612200152353</c:v>
                </c:pt>
                <c:pt idx="410">
                  <c:v>-128.75739590022457</c:v>
                </c:pt>
                <c:pt idx="411">
                  <c:v>-129.60713353179091</c:v>
                </c:pt>
                <c:pt idx="412">
                  <c:v>-130.45482584959674</c:v>
                </c:pt>
                <c:pt idx="413">
                  <c:v>-131.29997879043978</c:v>
                </c:pt>
                <c:pt idx="414">
                  <c:v>-132.14211415558171</c:v>
                </c:pt>
                <c:pt idx="415">
                  <c:v>-132.98077040054494</c:v>
                </c:pt>
                <c:pt idx="416">
                  <c:v>-133.81550333328511</c:v>
                </c:pt>
                <c:pt idx="417">
                  <c:v>-134.64588672099998</c:v>
                </c:pt>
                <c:pt idx="418">
                  <c:v>-135.47151280641742</c:v>
                </c:pt>
                <c:pt idx="419">
                  <c:v>-136.29199273497565</c:v>
                </c:pt>
                <c:pt idx="420">
                  <c:v>-137.1069568948331</c:v>
                </c:pt>
                <c:pt idx="421">
                  <c:v>-137.91605517213225</c:v>
                </c:pt>
                <c:pt idx="422">
                  <c:v>-138.71895712438223</c:v>
                </c:pt>
                <c:pt idx="423">
                  <c:v>-139.51535207522974</c:v>
                </c:pt>
                <c:pt idx="424">
                  <c:v>-140.30494913422154</c:v>
                </c:pt>
                <c:pt idx="425">
                  <c:v>-141.08747714548014</c:v>
                </c:pt>
                <c:pt idx="426">
                  <c:v>-141.86268456944589</c:v>
                </c:pt>
                <c:pt idx="427">
                  <c:v>-142.630339302045</c:v>
                </c:pt>
                <c:pt idx="428">
                  <c:v>-143.39022843579613</c:v>
                </c:pt>
                <c:pt idx="429">
                  <c:v>-144.14215796746987</c:v>
                </c:pt>
                <c:pt idx="430">
                  <c:v>-144.88595245696072</c:v>
                </c:pt>
                <c:pt idx="431">
                  <c:v>-145.62145464206944</c:v>
                </c:pt>
                <c:pt idx="432">
                  <c:v>-146.34852501383719</c:v>
                </c:pt>
                <c:pt idx="433">
                  <c:v>-147.06704135703984</c:v>
                </c:pt>
                <c:pt idx="434">
                  <c:v>-147.77689826032923</c:v>
                </c:pt>
                <c:pt idx="435">
                  <c:v>-148.47800660039502</c:v>
                </c:pt>
                <c:pt idx="436">
                  <c:v>-149.17029300436539</c:v>
                </c:pt>
                <c:pt idx="437">
                  <c:v>-149.85369929448711</c:v>
                </c:pt>
                <c:pt idx="438">
                  <c:v>-150.52818191893158</c:v>
                </c:pt>
                <c:pt idx="439">
                  <c:v>-151.19371137236595</c:v>
                </c:pt>
                <c:pt idx="440">
                  <c:v>-151.85027160970796</c:v>
                </c:pt>
                <c:pt idx="441">
                  <c:v>-152.49785945624964</c:v>
                </c:pt>
                <c:pt idx="442">
                  <c:v>-153.13648401710697</c:v>
                </c:pt>
                <c:pt idx="443">
                  <c:v>-153.76616608870916</c:v>
                </c:pt>
                <c:pt idx="444">
                  <c:v>-154.38693757481366</c:v>
                </c:pt>
                <c:pt idx="445">
                  <c:v>-154.99884090928603</c:v>
                </c:pt>
                <c:pt idx="446">
                  <c:v>-155.60192848766974</c:v>
                </c:pt>
                <c:pt idx="447">
                  <c:v>-156.19626210933473</c:v>
                </c:pt>
                <c:pt idx="448">
                  <c:v>-156.78191243178702</c:v>
                </c:pt>
                <c:pt idx="449">
                  <c:v>-157.35895843851046</c:v>
                </c:pt>
                <c:pt idx="450">
                  <c:v>-157.92748692151903</c:v>
                </c:pt>
                <c:pt idx="451">
                  <c:v>-158.48759197960865</c:v>
                </c:pt>
                <c:pt idx="452">
                  <c:v>-159.03937453312795</c:v>
                </c:pt>
                <c:pt idx="453">
                  <c:v>-159.58294185592266</c:v>
                </c:pt>
                <c:pt idx="454">
                  <c:v>-160.11840712495405</c:v>
                </c:pt>
                <c:pt idx="455">
                  <c:v>-160.64588898796296</c:v>
                </c:pt>
                <c:pt idx="456">
                  <c:v>-161.16551114940958</c:v>
                </c:pt>
                <c:pt idx="457">
                  <c:v>-161.67740197481893</c:v>
                </c:pt>
                <c:pt idx="458">
                  <c:v>-162.18169411354495</c:v>
                </c:pt>
                <c:pt idx="459">
                  <c:v>-162.67852413987774</c:v>
                </c:pt>
                <c:pt idx="460">
                  <c:v>-163.16803221233798</c:v>
                </c:pt>
                <c:pt idx="461">
                  <c:v>-163.6503617509203</c:v>
                </c:pt>
                <c:pt idx="462">
                  <c:v>-164.12565913199361</c:v>
                </c:pt>
                <c:pt idx="463">
                  <c:v>-164.59407340049921</c:v>
                </c:pt>
                <c:pt idx="464">
                  <c:v>-165.05575599905205</c:v>
                </c:pt>
                <c:pt idx="465">
                  <c:v>-165.51086051349625</c:v>
                </c:pt>
                <c:pt idx="466">
                  <c:v>-165.9595424344482</c:v>
                </c:pt>
                <c:pt idx="467">
                  <c:v>-166.40195893431712</c:v>
                </c:pt>
                <c:pt idx="468">
                  <c:v>-166.83826865928646</c:v>
                </c:pt>
                <c:pt idx="469">
                  <c:v>-167.26863153571171</c:v>
                </c:pt>
                <c:pt idx="470">
                  <c:v>-167.69320859038575</c:v>
                </c:pt>
                <c:pt idx="471">
                  <c:v>-168.11216178411399</c:v>
                </c:pt>
                <c:pt idx="472">
                  <c:v>-168.52565385803268</c:v>
                </c:pt>
                <c:pt idx="473">
                  <c:v>-168.93384819211332</c:v>
                </c:pt>
                <c:pt idx="474">
                  <c:v>-169.33690867528858</c:v>
                </c:pt>
                <c:pt idx="475">
                  <c:v>-169.73499958664527</c:v>
                </c:pt>
                <c:pt idx="476">
                  <c:v>-170.12828548713651</c:v>
                </c:pt>
                <c:pt idx="477">
                  <c:v>-170.51693112127191</c:v>
                </c:pt>
                <c:pt idx="478">
                  <c:v>-170.90110132825635</c:v>
                </c:pt>
                <c:pt idx="479">
                  <c:v>-171.28096096205863</c:v>
                </c:pt>
                <c:pt idx="480">
                  <c:v>-171.65667481990374</c:v>
                </c:pt>
                <c:pt idx="481">
                  <c:v>-172.02840757869478</c:v>
                </c:pt>
                <c:pt idx="482">
                  <c:v>-172.39632373888551</c:v>
                </c:pt>
                <c:pt idx="483">
                  <c:v>-172.76058757533582</c:v>
                </c:pt>
                <c:pt idx="484">
                  <c:v>-173.12136309469926</c:v>
                </c:pt>
                <c:pt idx="485">
                  <c:v>-173.47881399890267</c:v>
                </c:pt>
                <c:pt idx="486">
                  <c:v>-173.83310365429446</c:v>
                </c:pt>
                <c:pt idx="487">
                  <c:v>-174.18439506604969</c:v>
                </c:pt>
                <c:pt idx="488">
                  <c:v>-174.53285085743369</c:v>
                </c:pt>
                <c:pt idx="489">
                  <c:v>-174.87863325353939</c:v>
                </c:pt>
                <c:pt idx="490">
                  <c:v>-175.22190406912563</c:v>
                </c:pt>
                <c:pt idx="491">
                  <c:v>-175.56282470019377</c:v>
                </c:pt>
                <c:pt idx="492">
                  <c:v>-175.90155611895403</c:v>
                </c:pt>
                <c:pt idx="493">
                  <c:v>-176.23825887184006</c:v>
                </c:pt>
                <c:pt idx="494">
                  <c:v>-176.5730930802421</c:v>
                </c:pt>
                <c:pt idx="495">
                  <c:v>-176.90621844363733</c:v>
                </c:pt>
                <c:pt idx="496">
                  <c:v>-177.23779424480352</c:v>
                </c:pt>
                <c:pt idx="497">
                  <c:v>-177.56797935681058</c:v>
                </c:pt>
                <c:pt idx="498">
                  <c:v>-177.8969322514896</c:v>
                </c:pt>
                <c:pt idx="499">
                  <c:v>-178.22481100908641</c:v>
                </c:pt>
                <c:pt idx="500">
                  <c:v>-178.55177332880928</c:v>
                </c:pt>
                <c:pt idx="501">
                  <c:v>-178.87797653998712</c:v>
                </c:pt>
                <c:pt idx="502">
                  <c:v>-179.20357761355456</c:v>
                </c:pt>
                <c:pt idx="503">
                  <c:v>-179.52873317358547</c:v>
                </c:pt>
                <c:pt idx="504">
                  <c:v>-179.85359950859569</c:v>
                </c:pt>
                <c:pt idx="505">
                  <c:v>179.82166741766204</c:v>
                </c:pt>
                <c:pt idx="506">
                  <c:v>179.49691195618931</c:v>
                </c:pt>
                <c:pt idx="507">
                  <c:v>179.17197876379768</c:v>
                </c:pt>
                <c:pt idx="508">
                  <c:v>178.84671279550966</c:v>
                </c:pt>
                <c:pt idx="509">
                  <c:v>178.52095929858834</c:v>
                </c:pt>
                <c:pt idx="510">
                  <c:v>178.19456380848072</c:v>
                </c:pt>
                <c:pt idx="511">
                  <c:v>177.86737214696674</c:v>
                </c:pt>
                <c:pt idx="512">
                  <c:v>177.53923042280644</c:v>
                </c:pt>
                <c:pt idx="513">
                  <c:v>177.20998503518726</c:v>
                </c:pt>
                <c:pt idx="514">
                  <c:v>176.8794826802748</c:v>
                </c:pt>
                <c:pt idx="515">
                  <c:v>176.54757036118124</c:v>
                </c:pt>
                <c:pt idx="516">
                  <c:v>176.21409540166678</c:v>
                </c:pt>
                <c:pt idx="517">
                  <c:v>175.87890546390193</c:v>
                </c:pt>
                <c:pt idx="518">
                  <c:v>175.54184857062177</c:v>
                </c:pt>
                <c:pt idx="519">
                  <c:v>175.20277313201203</c:v>
                </c:pt>
                <c:pt idx="520">
                  <c:v>174.86152797767554</c:v>
                </c:pt>
                <c:pt idx="521">
                  <c:v>174.51796239403259</c:v>
                </c:pt>
                <c:pt idx="522">
                  <c:v>174.17192616751862</c:v>
                </c:pt>
                <c:pt idx="523">
                  <c:v>173.82326963394709</c:v>
                </c:pt>
                <c:pt idx="524">
                  <c:v>173.47184373441419</c:v>
                </c:pt>
                <c:pt idx="525">
                  <c:v>173.11750007812711</c:v>
                </c:pt>
                <c:pt idx="526">
                  <c:v>172.76009101254107</c:v>
                </c:pt>
                <c:pt idx="527">
                  <c:v>172.39946970119726</c:v>
                </c:pt>
                <c:pt idx="528">
                  <c:v>172.03549020965428</c:v>
                </c:pt>
                <c:pt idx="529">
                  <c:v>171.66800759990585</c:v>
                </c:pt>
                <c:pt idx="530">
                  <c:v>171.29687803368225</c:v>
                </c:pt>
                <c:pt idx="531">
                  <c:v>170.92195888502263</c:v>
                </c:pt>
                <c:pt idx="532">
                  <c:v>170.54310886250653</c:v>
                </c:pt>
                <c:pt idx="533">
                  <c:v>170.16018814152082</c:v>
                </c:pt>
                <c:pt idx="534">
                  <c:v>169.77305850693094</c:v>
                </c:pt>
                <c:pt idx="535">
                  <c:v>169.38158350650718</c:v>
                </c:pt>
                <c:pt idx="536">
                  <c:v>168.98562861544181</c:v>
                </c:pt>
                <c:pt idx="537">
                  <c:v>168.58506141226692</c:v>
                </c:pt>
                <c:pt idx="538">
                  <c:v>168.17975176645839</c:v>
                </c:pt>
                <c:pt idx="539">
                  <c:v>167.76957203797798</c:v>
                </c:pt>
                <c:pt idx="540">
                  <c:v>167.35439728896768</c:v>
                </c:pt>
                <c:pt idx="541">
                  <c:v>166.93410550776389</c:v>
                </c:pt>
              </c:numCache>
            </c:numRef>
          </c:yVal>
          <c:smooth val="1"/>
          <c:extLst>
            <c:ext xmlns:c16="http://schemas.microsoft.com/office/drawing/2014/chart" uri="{C3380CC4-5D6E-409C-BE32-E72D297353CC}">
              <c16:uniqueId val="{00000001-69E5-488F-8178-EA81D5C894E7}"/>
            </c:ext>
          </c:extLst>
        </c:ser>
        <c:dLbls>
          <c:showLegendKey val="0"/>
          <c:showVal val="0"/>
          <c:showCatName val="0"/>
          <c:showSerName val="0"/>
          <c:showPercent val="0"/>
          <c:showBubbleSize val="0"/>
        </c:dLbls>
        <c:axId val="555250048"/>
        <c:axId val="555235968"/>
      </c:scatterChart>
      <c:valAx>
        <c:axId val="55523187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234048"/>
        <c:crosses val="autoZero"/>
        <c:crossBetween val="midCat"/>
      </c:valAx>
      <c:valAx>
        <c:axId val="55523404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31872"/>
        <c:crosses val="autoZero"/>
        <c:crossBetween val="midCat"/>
        <c:majorUnit val="20"/>
        <c:minorUnit val="10"/>
      </c:valAx>
      <c:valAx>
        <c:axId val="555235968"/>
        <c:scaling>
          <c:orientation val="minMax"/>
          <c:max val="180"/>
          <c:min val="-180"/>
        </c:scaling>
        <c:delete val="0"/>
        <c:axPos val="r"/>
        <c:numFmt formatCode="General" sourceLinked="1"/>
        <c:majorTickMark val="out"/>
        <c:minorTickMark val="none"/>
        <c:tickLblPos val="nextTo"/>
        <c:crossAx val="555250048"/>
        <c:crosses val="max"/>
        <c:crossBetween val="midCat"/>
        <c:majorUnit val="90"/>
        <c:minorUnit val="45"/>
      </c:valAx>
      <c:valAx>
        <c:axId val="555250048"/>
        <c:scaling>
          <c:logBase val="10"/>
          <c:orientation val="minMax"/>
        </c:scaling>
        <c:delete val="1"/>
        <c:axPos val="b"/>
        <c:numFmt formatCode="0.00" sourceLinked="1"/>
        <c:majorTickMark val="out"/>
        <c:minorTickMark val="none"/>
        <c:tickLblPos val="nextTo"/>
        <c:crossAx val="555235968"/>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37.64403857191293</c:v>
                </c:pt>
                <c:pt idx="1">
                  <c:v>37.444049848863877</c:v>
                </c:pt>
                <c:pt idx="2">
                  <c:v>37.244061657249723</c:v>
                </c:pt>
                <c:pt idx="3">
                  <c:v>37.044074022113172</c:v>
                </c:pt>
                <c:pt idx="4">
                  <c:v>36.844086969676894</c:v>
                </c:pt>
                <c:pt idx="5">
                  <c:v>36.644100527399019</c:v>
                </c:pt>
                <c:pt idx="6">
                  <c:v>36.444114724031508</c:v>
                </c:pt>
                <c:pt idx="7">
                  <c:v>36.24412958968081</c:v>
                </c:pt>
                <c:pt idx="8">
                  <c:v>36.044145155871981</c:v>
                </c:pt>
                <c:pt idx="9">
                  <c:v>35.844161455615229</c:v>
                </c:pt>
                <c:pt idx="10">
                  <c:v>35.644178523475993</c:v>
                </c:pt>
                <c:pt idx="11">
                  <c:v>35.444196395648298</c:v>
                </c:pt>
                <c:pt idx="12">
                  <c:v>35.244215110031128</c:v>
                </c:pt>
                <c:pt idx="13">
                  <c:v>35.044234706309084</c:v>
                </c:pt>
                <c:pt idx="14">
                  <c:v>34.844255226036211</c:v>
                </c:pt>
                <c:pt idx="15">
                  <c:v>34.644276712724157</c:v>
                </c:pt>
                <c:pt idx="16">
                  <c:v>34.444299211934435</c:v>
                </c:pt>
                <c:pt idx="17">
                  <c:v>34.244322771374655</c:v>
                </c:pt>
                <c:pt idx="18">
                  <c:v>34.044347440999879</c:v>
                </c:pt>
                <c:pt idx="19">
                  <c:v>33.844373273118279</c:v>
                </c:pt>
                <c:pt idx="20">
                  <c:v>33.644400322501916</c:v>
                </c:pt>
                <c:pt idx="21">
                  <c:v>33.44442864650285</c:v>
                </c:pt>
                <c:pt idx="22">
                  <c:v>33.24445830517454</c:v>
                </c:pt>
                <c:pt idx="23">
                  <c:v>33.044489361398853</c:v>
                </c:pt>
                <c:pt idx="24">
                  <c:v>32.844521881019453</c:v>
                </c:pt>
                <c:pt idx="25">
                  <c:v>32.644555932981206</c:v>
                </c:pt>
                <c:pt idx="26">
                  <c:v>32.444591589475749</c:v>
                </c:pt>
                <c:pt idx="27">
                  <c:v>32.244628926094848</c:v>
                </c:pt>
                <c:pt idx="28">
                  <c:v>32.044668021989906</c:v>
                </c:pt>
                <c:pt idx="29">
                  <c:v>31.84470896003992</c:v>
                </c:pt>
                <c:pt idx="30">
                  <c:v>31.64475182702644</c:v>
                </c:pt>
                <c:pt idx="31">
                  <c:v>31.444796713817553</c:v>
                </c:pt>
                <c:pt idx="32">
                  <c:v>31.244843715559803</c:v>
                </c:pt>
                <c:pt idx="33">
                  <c:v>31.044892931879836</c:v>
                </c:pt>
                <c:pt idx="34">
                  <c:v>30.844944467094738</c:v>
                </c:pt>
                <c:pt idx="35">
                  <c:v>30.644998430432935</c:v>
                </c:pt>
                <c:pt idx="36">
                  <c:v>30.445054936264945</c:v>
                </c:pt>
                <c:pt idx="37">
                  <c:v>30.245114104345461</c:v>
                </c:pt>
                <c:pt idx="38">
                  <c:v>30.045176060066257</c:v>
                </c:pt>
                <c:pt idx="39">
                  <c:v>29.84524093472124</c:v>
                </c:pt>
                <c:pt idx="40">
                  <c:v>29.645308865784092</c:v>
                </c:pt>
                <c:pt idx="41">
                  <c:v>29.445379997198472</c:v>
                </c:pt>
                <c:pt idx="42">
                  <c:v>29.245454479682351</c:v>
                </c:pt>
                <c:pt idx="43">
                  <c:v>29.045532471046037</c:v>
                </c:pt>
                <c:pt idx="44">
                  <c:v>28.845614136525786</c:v>
                </c:pt>
                <c:pt idx="45">
                  <c:v>28.645699649132219</c:v>
                </c:pt>
                <c:pt idx="46">
                  <c:v>28.445789190015958</c:v>
                </c:pt>
                <c:pt idx="47">
                  <c:v>28.24588294884942</c:v>
                </c:pt>
                <c:pt idx="48">
                  <c:v>28.045981124227438</c:v>
                </c:pt>
                <c:pt idx="49">
                  <c:v>27.846083924085686</c:v>
                </c:pt>
                <c:pt idx="50">
                  <c:v>27.646191566139549</c:v>
                </c:pt>
                <c:pt idx="51">
                  <c:v>27.446304278342666</c:v>
                </c:pt>
                <c:pt idx="52">
                  <c:v>27.246422299367673</c:v>
                </c:pt>
                <c:pt idx="53">
                  <c:v>27.046545879108777</c:v>
                </c:pt>
                <c:pt idx="54">
                  <c:v>26.846675279208295</c:v>
                </c:pt>
                <c:pt idx="55">
                  <c:v>26.646810773607214</c:v>
                </c:pt>
                <c:pt idx="56">
                  <c:v>26.446952649121837</c:v>
                </c:pt>
                <c:pt idx="57">
                  <c:v>26.247101206047549</c:v>
                </c:pt>
                <c:pt idx="58">
                  <c:v>26.047256758789676</c:v>
                </c:pt>
                <c:pt idx="59">
                  <c:v>25.847419636525029</c:v>
                </c:pt>
                <c:pt idx="60">
                  <c:v>25.647590183893378</c:v>
                </c:pt>
                <c:pt idx="61">
                  <c:v>25.447768761721012</c:v>
                </c:pt>
                <c:pt idx="62">
                  <c:v>25.247955747778935</c:v>
                </c:pt>
                <c:pt idx="63">
                  <c:v>25.048151537574817</c:v>
                </c:pt>
                <c:pt idx="64">
                  <c:v>24.848356545183204</c:v>
                </c:pt>
                <c:pt idx="65">
                  <c:v>24.648571204112905</c:v>
                </c:pt>
                <c:pt idx="66">
                  <c:v>24.448795968215336</c:v>
                </c:pt>
                <c:pt idx="67">
                  <c:v>24.249031312634898</c:v>
                </c:pt>
                <c:pt idx="68">
                  <c:v>24.049277734803262</c:v>
                </c:pt>
                <c:pt idx="69">
                  <c:v>23.84953575547943</c:v>
                </c:pt>
                <c:pt idx="70">
                  <c:v>23.649805919837842</c:v>
                </c:pt>
                <c:pt idx="71">
                  <c:v>23.450088798607048</c:v>
                </c:pt>
                <c:pt idx="72">
                  <c:v>23.250384989260727</c:v>
                </c:pt>
                <c:pt idx="73">
                  <c:v>23.050695117262968</c:v>
                </c:pt>
                <c:pt idx="74">
                  <c:v>22.851019837371979</c:v>
                </c:pt>
                <c:pt idx="75">
                  <c:v>22.651359835002623</c:v>
                </c:pt>
                <c:pt idx="76">
                  <c:v>22.451715827652055</c:v>
                </c:pt>
                <c:pt idx="77">
                  <c:v>22.252088566390398</c:v>
                </c:pt>
                <c:pt idx="78">
                  <c:v>22.052478837420104</c:v>
                </c:pt>
                <c:pt idx="79">
                  <c:v>21.852887463705741</c:v>
                </c:pt>
                <c:pt idx="80">
                  <c:v>21.653315306679339</c:v>
                </c:pt>
                <c:pt idx="81">
                  <c:v>21.453763268022055</c:v>
                </c:pt>
                <c:pt idx="82">
                  <c:v>21.254232291528229</c:v>
                </c:pt>
                <c:pt idx="83">
                  <c:v>21.054723365053075</c:v>
                </c:pt>
                <c:pt idx="84">
                  <c:v>20.855237522549093</c:v>
                </c:pt>
                <c:pt idx="85">
                  <c:v>20.655775846194739</c:v>
                </c:pt>
                <c:pt idx="86">
                  <c:v>20.456339468618836</c:v>
                </c:pt>
                <c:pt idx="87">
                  <c:v>20.256929575225278</c:v>
                </c:pt>
                <c:pt idx="88">
                  <c:v>20.057547406622867</c:v>
                </c:pt>
                <c:pt idx="89">
                  <c:v>19.858194261163113</c:v>
                </c:pt>
                <c:pt idx="90">
                  <c:v>19.658871497592262</c:v>
                </c:pt>
                <c:pt idx="91">
                  <c:v>19.459580537821743</c:v>
                </c:pt>
                <c:pt idx="92">
                  <c:v>19.260322869821433</c:v>
                </c:pt>
                <c:pt idx="93">
                  <c:v>19.061100050641723</c:v>
                </c:pt>
                <c:pt idx="94">
                  <c:v>18.861913709569421</c:v>
                </c:pt>
                <c:pt idx="95">
                  <c:v>18.662765551422204</c:v>
                </c:pt>
                <c:pt idx="96">
                  <c:v>18.463657359988932</c:v>
                </c:pt>
                <c:pt idx="97">
                  <c:v>18.264591001619721</c:v>
                </c:pt>
                <c:pt idx="98">
                  <c:v>18.065568428973329</c:v>
                </c:pt>
                <c:pt idx="99">
                  <c:v>17.866591684927403</c:v>
                </c:pt>
                <c:pt idx="100">
                  <c:v>17.667662906658009</c:v>
                </c:pt>
                <c:pt idx="101">
                  <c:v>17.468784329895009</c:v>
                </c:pt>
                <c:pt idx="102">
                  <c:v>17.269958293360318</c:v>
                </c:pt>
                <c:pt idx="103">
                  <c:v>17.071187243395702</c:v>
                </c:pt>
                <c:pt idx="104">
                  <c:v>16.872473738787313</c:v>
                </c:pt>
                <c:pt idx="105">
                  <c:v>16.6738204557941</c:v>
                </c:pt>
                <c:pt idx="106">
                  <c:v>16.475230193388054</c:v>
                </c:pt>
                <c:pt idx="107">
                  <c:v>16.2767058787129</c:v>
                </c:pt>
                <c:pt idx="108">
                  <c:v>16.078250572770159</c:v>
                </c:pt>
                <c:pt idx="109">
                  <c:v>15.879867476339385</c:v>
                </c:pt>
                <c:pt idx="110">
                  <c:v>15.681559936141131</c:v>
                </c:pt>
                <c:pt idx="111">
                  <c:v>15.483331451250638</c:v>
                </c:pt>
                <c:pt idx="112">
                  <c:v>15.28518567977018</c:v>
                </c:pt>
                <c:pt idx="113">
                  <c:v>15.087126445768241</c:v>
                </c:pt>
                <c:pt idx="114">
                  <c:v>14.889157746494499</c:v>
                </c:pt>
                <c:pt idx="115">
                  <c:v>14.691283759877194</c:v>
                </c:pt>
                <c:pt idx="116">
                  <c:v>14.493508852313258</c:v>
                </c:pt>
                <c:pt idx="117">
                  <c:v>14.295837586757061</c:v>
                </c:pt>
                <c:pt idx="118">
                  <c:v>14.098274731117716</c:v>
                </c:pt>
                <c:pt idx="119">
                  <c:v>13.900825266971191</c:v>
                </c:pt>
                <c:pt idx="120">
                  <c:v>13.703494398596129</c:v>
                </c:pt>
                <c:pt idx="121">
                  <c:v>13.506287562339882</c:v>
                </c:pt>
                <c:pt idx="122">
                  <c:v>13.309210436322083</c:v>
                </c:pt>
                <c:pt idx="123">
                  <c:v>13.112268950482155</c:v>
                </c:pt>
                <c:pt idx="124">
                  <c:v>12.915469296977557</c:v>
                </c:pt>
                <c:pt idx="125">
                  <c:v>12.718817940937196</c:v>
                </c:pt>
                <c:pt idx="126">
                  <c:v>12.522321631575927</c:v>
                </c:pt>
                <c:pt idx="127">
                  <c:v>12.325987413673706</c:v>
                </c:pt>
                <c:pt idx="128">
                  <c:v>12.129822639422835</c:v>
                </c:pt>
                <c:pt idx="129">
                  <c:v>11.933834980645466</c:v>
                </c:pt>
                <c:pt idx="130">
                  <c:v>11.738032441382609</c:v>
                </c:pt>
                <c:pt idx="131">
                  <c:v>11.542423370854593</c:v>
                </c:pt>
                <c:pt idx="132">
                  <c:v>11.347016476790778</c:v>
                </c:pt>
                <c:pt idx="133">
                  <c:v>11.151820839126552</c:v>
                </c:pt>
                <c:pt idx="134">
                  <c:v>10.956845924061316</c:v>
                </c:pt>
                <c:pt idx="135">
                  <c:v>10.762101598471737</c:v>
                </c:pt>
                <c:pt idx="136">
                  <c:v>10.567598144670619</c:v>
                </c:pt>
                <c:pt idx="137">
                  <c:v>10.373346275499969</c:v>
                </c:pt>
                <c:pt idx="138">
                  <c:v>10.179357149744643</c:v>
                </c:pt>
                <c:pt idx="139">
                  <c:v>9.9856423878494223</c:v>
                </c:pt>
                <c:pt idx="140">
                  <c:v>9.7922140879193105</c:v>
                </c:pt>
                <c:pt idx="141">
                  <c:v>9.5990848419800834</c:v>
                </c:pt>
                <c:pt idx="142">
                  <c:v>9.4062677524722833</c:v>
                </c:pt>
                <c:pt idx="143">
                  <c:v>9.2137764489467013</c:v>
                </c:pt>
                <c:pt idx="144">
                  <c:v>9.0216251049272138</c:v>
                </c:pt>
                <c:pt idx="145">
                  <c:v>8.8298284549003885</c:v>
                </c:pt>
                <c:pt idx="146">
                  <c:v>8.6384018113874497</c:v>
                </c:pt>
                <c:pt idx="147">
                  <c:v>8.4473610820483476</c:v>
                </c:pt>
                <c:pt idx="148">
                  <c:v>8.2567227867627437</c:v>
                </c:pt>
                <c:pt idx="149">
                  <c:v>8.0665040746257475</c:v>
                </c:pt>
                <c:pt idx="150">
                  <c:v>7.8767227407914326</c:v>
                </c:pt>
                <c:pt idx="151">
                  <c:v>7.6873972430889728</c:v>
                </c:pt>
                <c:pt idx="152">
                  <c:v>7.4985467183305001</c:v>
                </c:pt>
                <c:pt idx="153">
                  <c:v>7.3101909982219313</c:v>
                </c:pt>
                <c:pt idx="154">
                  <c:v>7.1223506247810473</c:v>
                </c:pt>
                <c:pt idx="155">
                  <c:v>6.9350468651581352</c:v>
                </c:pt>
                <c:pt idx="156">
                  <c:v>6.7483017257482425</c:v>
                </c:pt>
                <c:pt idx="157">
                  <c:v>6.5621379654742675</c:v>
                </c:pt>
                <c:pt idx="158">
                  <c:v>6.376579108112443</c:v>
                </c:pt>
                <c:pt idx="159">
                  <c:v>6.1916494535234925</c:v>
                </c:pt>
                <c:pt idx="160">
                  <c:v>6.0073740876442292</c:v>
                </c:pt>
                <c:pt idx="161">
                  <c:v>5.8237788910850981</c:v>
                </c:pt>
                <c:pt idx="162">
                  <c:v>5.640890546172562</c:v>
                </c:pt>
                <c:pt idx="163">
                  <c:v>5.4587365422662257</c:v>
                </c:pt>
                <c:pt idx="164">
                  <c:v>5.277345179172598</c:v>
                </c:pt>
                <c:pt idx="165">
                  <c:v>5.0967455684717136</c:v>
                </c:pt>
                <c:pt idx="166">
                  <c:v>4.916967632565524</c:v>
                </c:pt>
                <c:pt idx="167">
                  <c:v>4.7380421012511924</c:v>
                </c:pt>
                <c:pt idx="168">
                  <c:v>4.5600005056188122</c:v>
                </c:pt>
                <c:pt idx="169">
                  <c:v>4.382875169068595</c:v>
                </c:pt>
                <c:pt idx="170">
                  <c:v>4.2066991952412707</c:v>
                </c:pt>
                <c:pt idx="171">
                  <c:v>4.0315064526543578</c:v>
                </c:pt>
                <c:pt idx="172">
                  <c:v>3.8573315558387962</c:v>
                </c:pt>
                <c:pt idx="173">
                  <c:v>3.6842098427727281</c:v>
                </c:pt>
                <c:pt idx="174">
                  <c:v>3.5121773484162451</c:v>
                </c:pt>
                <c:pt idx="175">
                  <c:v>3.3412707741567149</c:v>
                </c:pt>
                <c:pt idx="176">
                  <c:v>3.1715274529861825</c:v>
                </c:pt>
                <c:pt idx="177">
                  <c:v>3.0029853102448256</c:v>
                </c:pt>
                <c:pt idx="178">
                  <c:v>2.8356828197820687</c:v>
                </c:pt>
                <c:pt idx="179">
                  <c:v>2.6696589554033161</c:v>
                </c:pt>
                <c:pt idx="180">
                  <c:v>2.5049531374958685</c:v>
                </c:pt>
                <c:pt idx="181">
                  <c:v>2.3416051747528357</c:v>
                </c:pt>
                <c:pt idx="182">
                  <c:v>2.1796552009420749</c:v>
                </c:pt>
                <c:pt idx="183">
                  <c:v>2.0191436067006743</c:v>
                </c:pt>
                <c:pt idx="184">
                  <c:v>1.860110966373216</c:v>
                </c:pt>
                <c:pt idx="185">
                  <c:v>1.7025979599485919</c:v>
                </c:pt>
                <c:pt idx="186">
                  <c:v>1.5466452901952525</c:v>
                </c:pt>
                <c:pt idx="187">
                  <c:v>1.3922935951390345</c:v>
                </c:pt>
                <c:pt idx="188">
                  <c:v>1.2395833560757659</c:v>
                </c:pt>
                <c:pt idx="189">
                  <c:v>1.0885548013608</c:v>
                </c:pt>
                <c:pt idx="190">
                  <c:v>0.93924780626958648</c:v>
                </c:pt>
                <c:pt idx="191">
                  <c:v>0.79170178927572388</c:v>
                </c:pt>
                <c:pt idx="192">
                  <c:v>0.64595560514575645</c:v>
                </c:pt>
                <c:pt idx="193">
                  <c:v>0.50204743530349405</c:v>
                </c:pt>
                <c:pt idx="194">
                  <c:v>0.36001467596754977</c:v>
                </c:pt>
                <c:pt idx="195">
                  <c:v>0.21989382461519227</c:v>
                </c:pt>
                <c:pt idx="196">
                  <c:v>8.1720365373978837E-2</c:v>
                </c:pt>
                <c:pt idx="197">
                  <c:v>-5.4471346016644044E-2</c:v>
                </c:pt>
                <c:pt idx="198">
                  <c:v>-0.18864819699064159</c:v>
                </c:pt>
                <c:pt idx="199">
                  <c:v>-0.32077843197327977</c:v>
                </c:pt>
                <c:pt idx="200">
                  <c:v>-0.45083176448972795</c:v>
                </c:pt>
                <c:pt idx="201">
                  <c:v>-0.5787794868039281</c:v>
                </c:pt>
                <c:pt idx="202">
                  <c:v>-0.70459457631453049</c:v>
                </c:pt>
                <c:pt idx="203">
                  <c:v>-0.82825179793335657</c:v>
                </c:pt>
                <c:pt idx="204">
                  <c:v>-0.94972780167653192</c:v>
                </c:pt>
                <c:pt idx="205">
                  <c:v>-1.0690012147150443</c:v>
                </c:pt>
                <c:pt idx="206">
                  <c:v>-1.1860527271549939</c:v>
                </c:pt>
                <c:pt idx="207">
                  <c:v>-1.3008651708547514</c:v>
                </c:pt>
                <c:pt idx="208">
                  <c:v>-1.4134235906275341</c:v>
                </c:pt>
                <c:pt idx="209">
                  <c:v>-1.5237153072331697</c:v>
                </c:pt>
                <c:pt idx="210">
                  <c:v>-1.6317299716238753</c:v>
                </c:pt>
                <c:pt idx="211">
                  <c:v>-1.7374596099770232</c:v>
                </c:pt>
                <c:pt idx="212">
                  <c:v>-1.8408986591267649</c:v>
                </c:pt>
                <c:pt idx="213">
                  <c:v>-1.9420439920862373</c:v>
                </c:pt>
                <c:pt idx="214">
                  <c:v>-2.0408949334398314</c:v>
                </c:pt>
                <c:pt idx="215">
                  <c:v>-2.1374532644764783</c:v>
                </c:pt>
                <c:pt idx="216">
                  <c:v>-2.2317232180241211</c:v>
                </c:pt>
                <c:pt idx="217">
                  <c:v>-2.3237114630431663</c:v>
                </c:pt>
                <c:pt idx="218">
                  <c:v>-2.4134270791230974</c:v>
                </c:pt>
                <c:pt idx="219">
                  <c:v>-2.500881521122249</c:v>
                </c:pt>
                <c:pt idx="220">
                  <c:v>-2.5860885742716437</c:v>
                </c:pt>
                <c:pt idx="221">
                  <c:v>-2.6690643001492651</c:v>
                </c:pt>
                <c:pt idx="222">
                  <c:v>-2.7498269740044474</c:v>
                </c:pt>
                <c:pt idx="223">
                  <c:v>-2.8283970139805232</c:v>
                </c:pt>
                <c:pt idx="224">
                  <c:v>-2.9047969028454519</c:v>
                </c:pt>
                <c:pt idx="225">
                  <c:v>-2.9790511028906113</c:v>
                </c:pt>
                <c:pt idx="226">
                  <c:v>-3.0511859647008732</c:v>
                </c:pt>
                <c:pt idx="227">
                  <c:v>-3.1212296305340077</c:v>
                </c:pt>
                <c:pt idx="228">
                  <c:v>-3.189211933067944</c:v>
                </c:pt>
                <c:pt idx="229">
                  <c:v>-3.2551642902911366</c:v>
                </c:pt>
                <c:pt idx="230">
                  <c:v>-3.3191195973154644</c:v>
                </c:pt>
                <c:pt idx="231">
                  <c:v>-3.3811121158857604</c:v>
                </c:pt>
                <c:pt idx="232">
                  <c:v>-3.4411773623488844</c:v>
                </c:pt>
                <c:pt idx="233">
                  <c:v>-3.4993519948233978</c:v>
                </c:pt>
                <c:pt idx="234">
                  <c:v>-3.5556737002854026</c:v>
                </c:pt>
                <c:pt idx="235">
                  <c:v>-3.6101810822496305</c:v>
                </c:pt>
                <c:pt idx="236">
                  <c:v>-3.6629135496880978</c:v>
                </c:pt>
                <c:pt idx="237">
                  <c:v>-3.7139112077841956</c:v>
                </c:pt>
                <c:pt idx="238">
                  <c:v>-3.7632147510717555</c:v>
                </c:pt>
                <c:pt idx="239">
                  <c:v>-3.8108653594611717</c:v>
                </c:pt>
                <c:pt idx="240">
                  <c:v>-3.8569045976004039</c:v>
                </c:pt>
                <c:pt idx="241">
                  <c:v>-3.9013743179675293</c:v>
                </c:pt>
                <c:pt idx="242">
                  <c:v>-3.9443165680384045</c:v>
                </c:pt>
                <c:pt idx="243">
                  <c:v>-3.9857735018202387</c:v>
                </c:pt>
                <c:pt idx="244">
                  <c:v>-4.0257872959907584</c:v>
                </c:pt>
                <c:pt idx="245">
                  <c:v>-4.0644000708332646</c:v>
                </c:pt>
                <c:pt idx="246">
                  <c:v>-4.1016538161102609</c:v>
                </c:pt>
                <c:pt idx="247">
                  <c:v>-4.1375903219737005</c:v>
                </c:pt>
                <c:pt idx="248">
                  <c:v>-4.1722511149677928</c:v>
                </c:pt>
                <c:pt idx="249">
                  <c:v>-4.2056773991412673</c:v>
                </c:pt>
                <c:pt idx="250">
                  <c:v>-4.2379100022514447</c:v>
                </c:pt>
                <c:pt idx="251">
                  <c:v>-4.2689893270086534</c:v>
                </c:pt>
                <c:pt idx="252">
                  <c:v>-4.2989553072826272</c:v>
                </c:pt>
                <c:pt idx="253">
                  <c:v>-4.3278473691655623</c:v>
                </c:pt>
                <c:pt idx="254">
                  <c:v>-4.3557043967662787</c:v>
                </c:pt>
                <c:pt idx="255">
                  <c:v>-4.3825647025890015</c:v>
                </c:pt>
                <c:pt idx="256">
                  <c:v>-4.4084660023376587</c:v>
                </c:pt>
                <c:pt idx="257">
                  <c:v>-4.4334453939708665</c:v>
                </c:pt>
                <c:pt idx="258">
                  <c:v>-4.4575393408249493</c:v>
                </c:pt>
                <c:pt idx="259">
                  <c:v>-4.4807836586148406</c:v>
                </c:pt>
                <c:pt idx="260">
                  <c:v>-4.5032135061165359</c:v>
                </c:pt>
                <c:pt idx="261">
                  <c:v>-4.5248633793340227</c:v>
                </c:pt>
                <c:pt idx="262">
                  <c:v>-4.5457671089503284</c:v>
                </c:pt>
                <c:pt idx="263">
                  <c:v>-4.5659578608657201</c:v>
                </c:pt>
                <c:pt idx="264">
                  <c:v>-4.58546813962624</c:v>
                </c:pt>
                <c:pt idx="265">
                  <c:v>-4.6043297945514379</c:v>
                </c:pt>
                <c:pt idx="266">
                  <c:v>-4.6225740283730108</c:v>
                </c:pt>
                <c:pt idx="267">
                  <c:v>-4.6402314082033032</c:v>
                </c:pt>
                <c:pt idx="268">
                  <c:v>-4.6573318786586535</c:v>
                </c:pt>
                <c:pt idx="269">
                  <c:v>-4.6739047769693611</c:v>
                </c:pt>
                <c:pt idx="270">
                  <c:v>-4.6899788499156267</c:v>
                </c:pt>
                <c:pt idx="271">
                  <c:v>-4.7055822724374679</c:v>
                </c:pt>
                <c:pt idx="272">
                  <c:v>-4.7207426677735747</c:v>
                </c:pt>
                <c:pt idx="273">
                  <c:v>-4.7354871289933929</c:v>
                </c:pt>
                <c:pt idx="274">
                  <c:v>-4.7498422417935577</c:v>
                </c:pt>
                <c:pt idx="275">
                  <c:v>-4.7638341084391369</c:v>
                </c:pt>
                <c:pt idx="276">
                  <c:v>-4.7774883727379889</c:v>
                </c:pt>
                <c:pt idx="277">
                  <c:v>-4.7908302459431171</c:v>
                </c:pt>
                <c:pt idx="278">
                  <c:v>-4.8038845334860216</c:v>
                </c:pt>
                <c:pt idx="279">
                  <c:v>-4.8166756624525071</c:v>
                </c:pt>
                <c:pt idx="280">
                  <c:v>-4.8292277097161991</c:v>
                </c:pt>
                <c:pt idx="281">
                  <c:v>-4.8415644306544863</c:v>
                </c:pt>
                <c:pt idx="282">
                  <c:v>-4.8537092883745112</c:v>
                </c:pt>
                <c:pt idx="283">
                  <c:v>-4.8656854833857395</c:v>
                </c:pt>
                <c:pt idx="284">
                  <c:v>-4.8775159836565312</c:v>
                </c:pt>
                <c:pt idx="285">
                  <c:v>-4.8892235550005063</c:v>
                </c:pt>
                <c:pt idx="286">
                  <c:v>-4.9008307917401055</c:v>
                </c:pt>
                <c:pt idx="287">
                  <c:v>-4.9123601475978731</c:v>
                </c:pt>
                <c:pt idx="288">
                  <c:v>-4.9238339667717721</c:v>
                </c:pt>
                <c:pt idx="289">
                  <c:v>-4.9352745151498363</c:v>
                </c:pt>
                <c:pt idx="290">
                  <c:v>-4.946704011622951</c:v>
                </c:pt>
                <c:pt idx="291">
                  <c:v>-4.9581446594570036</c:v>
                </c:pt>
                <c:pt idx="292">
                  <c:v>-4.969618677683485</c:v>
                </c:pt>
                <c:pt idx="293">
                  <c:v>-4.9811483324713981</c:v>
                </c:pt>
                <c:pt idx="294">
                  <c:v>-4.9927559684396812</c:v>
                </c:pt>
                <c:pt idx="295">
                  <c:v>-5.0044640398716291</c:v>
                </c:pt>
                <c:pt idx="296">
                  <c:v>-5.0162951417887989</c:v>
                </c:pt>
                <c:pt idx="297">
                  <c:v>-5.0282720408421628</c:v>
                </c:pt>
                <c:pt idx="298">
                  <c:v>-5.040417705974142</c:v>
                </c:pt>
                <c:pt idx="299">
                  <c:v>-5.0527553388034789</c:v>
                </c:pt>
                <c:pt idx="300">
                  <c:v>-5.0653084036805884</c:v>
                </c:pt>
                <c:pt idx="301">
                  <c:v>-5.0781006573579068</c:v>
                </c:pt>
                <c:pt idx="302">
                  <c:v>-5.0911561782140247</c:v>
                </c:pt>
                <c:pt idx="303">
                  <c:v>-5.1044993949669761</c:v>
                </c:pt>
                <c:pt idx="304">
                  <c:v>-5.1181551148052336</c:v>
                </c:pt>
                <c:pt idx="305">
                  <c:v>-5.1321485508600002</c:v>
                </c:pt>
                <c:pt idx="306">
                  <c:v>-5.1465053489354586</c:v>
                </c:pt>
                <c:pt idx="307">
                  <c:v>-5.1612516134068827</c:v>
                </c:pt>
                <c:pt idx="308">
                  <c:v>-5.176413932190842</c:v>
                </c:pt>
                <c:pt idx="309">
                  <c:v>-5.1920194006813141</c:v>
                </c:pt>
                <c:pt idx="310">
                  <c:v>-5.208095644541002</c:v>
                </c:pt>
                <c:pt idx="311">
                  <c:v>-5.2246708412272795</c:v>
                </c:pt>
                <c:pt idx="312">
                  <c:v>-5.2417737401245255</c:v>
                </c:pt>
                <c:pt idx="313">
                  <c:v>-5.2594336811469811</c:v>
                </c:pt>
                <c:pt idx="314">
                  <c:v>-5.277680611666705</c:v>
                </c:pt>
                <c:pt idx="315">
                  <c:v>-5.2965451016153375</c:v>
                </c:pt>
                <c:pt idx="316">
                  <c:v>-5.3160583565974466</c:v>
                </c:pt>
                <c:pt idx="317">
                  <c:v>-5.3362522288500465</c:v>
                </c:pt>
                <c:pt idx="318">
                  <c:v>-5.3571592258693368</c:v>
                </c:pt>
                <c:pt idx="319">
                  <c:v>-5.3788125165276002</c:v>
                </c:pt>
                <c:pt idx="320">
                  <c:v>-5.4012459344887196</c:v>
                </c:pt>
                <c:pt idx="321">
                  <c:v>-5.4244939787330972</c:v>
                </c:pt>
                <c:pt idx="322">
                  <c:v>-5.4485918109946363</c:v>
                </c:pt>
                <c:pt idx="323">
                  <c:v>-5.4735752499123267</c:v>
                </c:pt>
                <c:pt idx="324">
                  <c:v>-5.4994807616965886</c:v>
                </c:pt>
                <c:pt idx="325">
                  <c:v>-5.5263454471134219</c:v>
                </c:pt>
                <c:pt idx="326">
                  <c:v>-5.5542070245893695</c:v>
                </c:pt>
                <c:pt idx="327">
                  <c:v>-5.5831038092483869</c:v>
                </c:pt>
                <c:pt idx="328">
                  <c:v>-5.6130746876961179</c:v>
                </c:pt>
                <c:pt idx="329">
                  <c:v>-5.6441590883786494</c:v>
                </c:pt>
                <c:pt idx="330">
                  <c:v>-5.6763969473559053</c:v>
                </c:pt>
                <c:pt idx="331">
                  <c:v>-5.7098286693433202</c:v>
                </c:pt>
                <c:pt idx="332">
                  <c:v>-5.7444950838960001</c:v>
                </c:pt>
                <c:pt idx="333">
                  <c:v>-5.780437396630715</c:v>
                </c:pt>
                <c:pt idx="334">
                  <c:v>-5.817697135407438</c:v>
                </c:pt>
                <c:pt idx="335">
                  <c:v>-5.8563160914186643</c:v>
                </c:pt>
                <c:pt idx="336">
                  <c:v>-5.8963362551692349</c:v>
                </c:pt>
                <c:pt idx="337">
                  <c:v>-5.9377997473641173</c:v>
                </c:pt>
                <c:pt idx="338">
                  <c:v>-5.9807487447593131</c:v>
                </c:pt>
                <c:pt idx="339">
                  <c:v>-6.0252254010753248</c:v>
                </c:pt>
                <c:pt idx="340">
                  <c:v>-6.0712717631153428</c:v>
                </c:pt>
                <c:pt idx="341">
                  <c:v>-6.1189296822783756</c:v>
                </c:pt>
                <c:pt idx="342">
                  <c:v>-6.1682407217081803</c:v>
                </c:pt>
                <c:pt idx="343">
                  <c:v>-6.2192460593682517</c:v>
                </c:pt>
                <c:pt idx="344">
                  <c:v>-6.2719863873870079</c:v>
                </c:pt>
                <c:pt idx="345">
                  <c:v>-6.3265018080697191</c:v>
                </c:pt>
                <c:pt idx="346">
                  <c:v>-6.3828317270261445</c:v>
                </c:pt>
                <c:pt idx="347">
                  <c:v>-6.4410147439148355</c:v>
                </c:pt>
                <c:pt idx="348">
                  <c:v>-6.5010885413548012</c:v>
                </c:pt>
                <c:pt idx="349">
                  <c:v>-6.5630897726028774</c:v>
                </c:pt>
                <c:pt idx="350">
                  <c:v>-6.6270539486378786</c:v>
                </c:pt>
                <c:pt idx="351">
                  <c:v>-6.6930153253327349</c:v>
                </c:pt>
                <c:pt idx="352">
                  <c:v>-6.7610067914283913</c:v>
                </c:pt>
                <c:pt idx="353">
                  <c:v>-6.8310597580522883</c:v>
                </c:pt>
                <c:pt idx="354">
                  <c:v>-6.9032040505428647</c:v>
                </c:pt>
                <c:pt idx="355">
                  <c:v>-6.9774678033559674</c:v>
                </c:pt>
                <c:pt idx="356">
                  <c:v>-7.0538773588308379</c:v>
                </c:pt>
                <c:pt idx="357">
                  <c:v>-7.1324571705919642</c:v>
                </c:pt>
                <c:pt idx="358">
                  <c:v>-7.2132297123451474</c:v>
                </c:pt>
                <c:pt idx="359">
                  <c:v>-7.2962153928052267</c:v>
                </c:pt>
                <c:pt idx="360">
                  <c:v>-7.3814324774588611</c:v>
                </c:pt>
                <c:pt idx="361">
                  <c:v>-7.4688970178222132</c:v>
                </c:pt>
                <c:pt idx="362">
                  <c:v>-7.5586227888027739</c:v>
                </c:pt>
                <c:pt idx="363">
                  <c:v>-7.6506212347136007</c:v>
                </c:pt>
                <c:pt idx="364">
                  <c:v>-7.7449014244189716</c:v>
                </c:pt>
                <c:pt idx="365">
                  <c:v>-7.8414700160177508</c:v>
                </c:pt>
                <c:pt idx="366">
                  <c:v>-7.9403312313846772</c:v>
                </c:pt>
                <c:pt idx="367">
                  <c:v>-8.0414868408092701</c:v>
                </c:pt>
                <c:pt idx="368">
                  <c:v>-8.1449361578767654</c:v>
                </c:pt>
                <c:pt idx="369">
                  <c:v>-8.2506760446471272</c:v>
                </c:pt>
                <c:pt idx="370">
                  <c:v>-8.3587009270932171</c:v>
                </c:pt>
                <c:pt idx="371">
                  <c:v>-8.4690028206681092</c:v>
                </c:pt>
                <c:pt idx="372">
                  <c:v>-8.5815713657798476</c:v>
                </c:pt>
                <c:pt idx="373">
                  <c:v>-8.6963938728671675</c:v>
                </c:pt>
                <c:pt idx="374">
                  <c:v>-8.8134553766852228</c:v>
                </c:pt>
                <c:pt idx="375">
                  <c:v>-8.9327386993349691</c:v>
                </c:pt>
                <c:pt idx="376">
                  <c:v>-9.0542245215020429</c:v>
                </c:pt>
                <c:pt idx="377">
                  <c:v>-9.177891461305876</c:v>
                </c:pt>
                <c:pt idx="378">
                  <c:v>-9.3037161601100475</c:v>
                </c:pt>
                <c:pt idx="379">
                  <c:v>-9.4316733745988142</c:v>
                </c:pt>
                <c:pt idx="380">
                  <c:v>-9.5617360743920958</c:v>
                </c:pt>
                <c:pt idx="381">
                  <c:v>-9.6938755444429017</c:v>
                </c:pt>
                <c:pt idx="382">
                  <c:v>-9.8280614914501658</c:v>
                </c:pt>
                <c:pt idx="383">
                  <c:v>-9.9642621535098339</c:v>
                </c:pt>
                <c:pt idx="384">
                  <c:v>-10.102444412233238</c:v>
                </c:pt>
                <c:pt idx="385">
                  <c:v>-10.242573906570664</c:v>
                </c:pt>
                <c:pt idx="386">
                  <c:v>-10.384615147599634</c:v>
                </c:pt>
                <c:pt idx="387">
                  <c:v>-10.528531633562732</c:v>
                </c:pt>
                <c:pt idx="388">
                  <c:v>-10.674285964472325</c:v>
                </c:pt>
                <c:pt idx="389">
                  <c:v>-10.821839955641003</c:v>
                </c:pt>
                <c:pt idx="390">
                  <c:v>-10.971154749534852</c:v>
                </c:pt>
                <c:pt idx="391">
                  <c:v>-11.122190925398295</c:v>
                </c:pt>
                <c:pt idx="392">
                  <c:v>-11.274908606145775</c:v>
                </c:pt>
                <c:pt idx="393">
                  <c:v>-11.429267562068548</c:v>
                </c:pt>
                <c:pt idx="394">
                  <c:v>-11.585227310957528</c:v>
                </c:pt>
                <c:pt idx="395">
                  <c:v>-11.742747214294988</c:v>
                </c:pt>
                <c:pt idx="396">
                  <c:v>-11.901786569222775</c:v>
                </c:pt>
                <c:pt idx="397">
                  <c:v>-12.062304696044016</c:v>
                </c:pt>
                <c:pt idx="398">
                  <c:v>-12.224261021066564</c:v>
                </c:pt>
                <c:pt idx="399">
                  <c:v>-12.387615154644283</c:v>
                </c:pt>
                <c:pt idx="400">
                  <c:v>-12.552326964316991</c:v>
                </c:pt>
                <c:pt idx="401">
                  <c:v>-12.718356642993449</c:v>
                </c:pt>
                <c:pt idx="402">
                  <c:v>-12.885664772160172</c:v>
                </c:pt>
                <c:pt idx="403">
                  <c:v>-13.054212380135716</c:v>
                </c:pt>
                <c:pt idx="404">
                  <c:v>-13.223960995422816</c:v>
                </c:pt>
                <c:pt idx="405">
                  <c:v>-13.394872695239677</c:v>
                </c:pt>
                <c:pt idx="406">
                  <c:v>-13.56691014933919</c:v>
                </c:pt>
                <c:pt idx="407">
                  <c:v>-13.740036659244312</c:v>
                </c:pt>
                <c:pt idx="408">
                  <c:v>-13.914216193051672</c:v>
                </c:pt>
                <c:pt idx="409">
                  <c:v>-14.089413415967256</c:v>
                </c:pt>
                <c:pt idx="410">
                  <c:v>-14.265593716753957</c:v>
                </c:pt>
                <c:pt idx="411">
                  <c:v>-14.442723230280606</c:v>
                </c:pt>
                <c:pt idx="412">
                  <c:v>-14.620768856369295</c:v>
                </c:pt>
                <c:pt idx="413">
                  <c:v>-14.799698275143882</c:v>
                </c:pt>
                <c:pt idx="414">
                  <c:v>-14.979479959085243</c:v>
                </c:pt>
                <c:pt idx="415">
                  <c:v>-15.160083182000967</c:v>
                </c:pt>
                <c:pt idx="416">
                  <c:v>-15.341478025114935</c:v>
                </c:pt>
                <c:pt idx="417">
                  <c:v>-15.523635380482528</c:v>
                </c:pt>
                <c:pt idx="418">
                  <c:v>-15.70652695193157</c:v>
                </c:pt>
                <c:pt idx="419">
                  <c:v>-15.8901252537263</c:v>
                </c:pt>
                <c:pt idx="420">
                  <c:v>-16.074403607143864</c:v>
                </c:pt>
                <c:pt idx="421">
                  <c:v>-16.259336135150168</c:v>
                </c:pt>
                <c:pt idx="422">
                  <c:v>-16.444897755349366</c:v>
                </c:pt>
                <c:pt idx="423">
                  <c:v>-16.63106417137984</c:v>
                </c:pt>
                <c:pt idx="424">
                  <c:v>-16.817811862916962</c:v>
                </c:pt>
                <c:pt idx="425">
                  <c:v>-17.005118074436471</c:v>
                </c:pt>
                <c:pt idx="426">
                  <c:v>-17.192960802884585</c:v>
                </c:pt>
                <c:pt idx="427">
                  <c:v>-17.381318784390704</c:v>
                </c:pt>
                <c:pt idx="428">
                  <c:v>-17.570171480152002</c:v>
                </c:pt>
                <c:pt idx="429">
                  <c:v>-17.759499061609684</c:v>
                </c:pt>
                <c:pt idx="430">
                  <c:v>-17.949282395028231</c:v>
                </c:pt>
                <c:pt idx="431">
                  <c:v>-18.13950302558333</c:v>
                </c:pt>
                <c:pt idx="432">
                  <c:v>-18.330143161051677</c:v>
                </c:pt>
                <c:pt idx="433">
                  <c:v>-18.521185655193928</c:v>
                </c:pt>
                <c:pt idx="434">
                  <c:v>-18.712613990910359</c:v>
                </c:pt>
                <c:pt idx="435">
                  <c:v>-18.904412263244836</c:v>
                </c:pt>
                <c:pt idx="436">
                  <c:v>-19.096565162303005</c:v>
                </c:pt>
                <c:pt idx="437">
                  <c:v>-19.289057956148831</c:v>
                </c:pt>
                <c:pt idx="438">
                  <c:v>-19.48187647373258</c:v>
                </c:pt>
                <c:pt idx="439">
                  <c:v>-19.675007087901818</c:v>
                </c:pt>
                <c:pt idx="440">
                  <c:v>-19.868436698539117</c:v>
                </c:pt>
                <c:pt idx="441">
                  <c:v>-20.06215271586742</c:v>
                </c:pt>
                <c:pt idx="442">
                  <c:v>-20.256143043957138</c:v>
                </c:pt>
                <c:pt idx="443">
                  <c:v>-20.450396064466801</c:v>
                </c:pt>
                <c:pt idx="444">
                  <c:v>-20.644900620643515</c:v>
                </c:pt>
                <c:pt idx="445">
                  <c:v>-20.839646001607711</c:v>
                </c:pt>
                <c:pt idx="446">
                  <c:v>-21.034621926940673</c:v>
                </c:pt>
                <c:pt idx="447">
                  <c:v>-21.22981853159289</c:v>
                </c:pt>
                <c:pt idx="448">
                  <c:v>-21.425226351126867</c:v>
                </c:pt>
                <c:pt idx="449">
                  <c:v>-21.620836307305332</c:v>
                </c:pt>
                <c:pt idx="450">
                  <c:v>-21.816639694034826</c:v>
                </c:pt>
                <c:pt idx="451">
                  <c:v>-22.012628163670605</c:v>
                </c:pt>
                <c:pt idx="452">
                  <c:v>-22.208793713688102</c:v>
                </c:pt>
                <c:pt idx="453">
                  <c:v>-22.405128673724455</c:v>
                </c:pt>
                <c:pt idx="454">
                  <c:v>-22.601625692991302</c:v>
                </c:pt>
                <c:pt idx="455">
                  <c:v>-22.798277728058551</c:v>
                </c:pt>
                <c:pt idx="456">
                  <c:v>-22.995078031009015</c:v>
                </c:pt>
                <c:pt idx="457">
                  <c:v>-23.192020137960874</c:v>
                </c:pt>
                <c:pt idx="458">
                  <c:v>-23.389097857954894</c:v>
                </c:pt>
                <c:pt idx="459">
                  <c:v>-23.586305262202266</c:v>
                </c:pt>
                <c:pt idx="460">
                  <c:v>-23.783636673688516</c:v>
                </c:pt>
                <c:pt idx="461">
                  <c:v>-23.981086657126976</c:v>
                </c:pt>
                <c:pt idx="462">
                  <c:v>-24.17865000925708</c:v>
                </c:pt>
                <c:pt idx="463">
                  <c:v>-24.376321749479711</c:v>
                </c:pt>
                <c:pt idx="464">
                  <c:v>-24.574097110822951</c:v>
                </c:pt>
                <c:pt idx="465">
                  <c:v>-24.771971531231188</c:v>
                </c:pt>
                <c:pt idx="466">
                  <c:v>-24.969940645169562</c:v>
                </c:pt>
                <c:pt idx="467">
                  <c:v>-25.168000275536002</c:v>
                </c:pt>
                <c:pt idx="468">
                  <c:v>-25.366146425873147</c:v>
                </c:pt>
                <c:pt idx="469">
                  <c:v>-25.564375272871594</c:v>
                </c:pt>
                <c:pt idx="470">
                  <c:v>-25.762683159156687</c:v>
                </c:pt>
                <c:pt idx="471">
                  <c:v>-25.961066586350178</c:v>
                </c:pt>
                <c:pt idx="472">
                  <c:v>-26.159522208399309</c:v>
                </c:pt>
                <c:pt idx="473">
                  <c:v>-26.358046825163978</c:v>
                </c:pt>
                <c:pt idx="474">
                  <c:v>-26.55663737625553</c:v>
                </c:pt>
                <c:pt idx="475">
                  <c:v>-26.755290935116392</c:v>
                </c:pt>
                <c:pt idx="476">
                  <c:v>-26.954004703336434</c:v>
                </c:pt>
                <c:pt idx="477">
                  <c:v>-27.152776005194323</c:v>
                </c:pt>
                <c:pt idx="478">
                  <c:v>-27.351602282418625</c:v>
                </c:pt>
                <c:pt idx="479">
                  <c:v>-27.550481089160051</c:v>
                </c:pt>
                <c:pt idx="480">
                  <c:v>-27.749410087168322</c:v>
                </c:pt>
                <c:pt idx="481">
                  <c:v>-27.948387041164597</c:v>
                </c:pt>
                <c:pt idx="482">
                  <c:v>-28.147409814404568</c:v>
                </c:pt>
                <c:pt idx="483">
                  <c:v>-28.346476364423641</c:v>
                </c:pt>
                <c:pt idx="484">
                  <c:v>-28.545584738958173</c:v>
                </c:pt>
                <c:pt idx="485">
                  <c:v>-28.744733072035949</c:v>
                </c:pt>
                <c:pt idx="486">
                  <c:v>-28.94391958022997</c:v>
                </c:pt>
                <c:pt idx="487">
                  <c:v>-29.143142559068149</c:v>
                </c:pt>
                <c:pt idx="488">
                  <c:v>-29.342400379594569</c:v>
                </c:pt>
                <c:pt idx="489">
                  <c:v>-29.54169148507529</c:v>
                </c:pt>
                <c:pt idx="490">
                  <c:v>-29.741014387842636</c:v>
                </c:pt>
                <c:pt idx="491">
                  <c:v>-29.940367666274721</c:v>
                </c:pt>
                <c:pt idx="492">
                  <c:v>-30.139749961901714</c:v>
                </c:pt>
                <c:pt idx="493">
                  <c:v>-30.339159976636623</c:v>
                </c:pt>
                <c:pt idx="494">
                  <c:v>-30.538596470123437</c:v>
                </c:pt>
                <c:pt idx="495">
                  <c:v>-30.738058257200073</c:v>
                </c:pt>
                <c:pt idx="496">
                  <c:v>-30.937544205468548</c:v>
                </c:pt>
                <c:pt idx="497">
                  <c:v>-31.137053232971546</c:v>
                </c:pt>
                <c:pt idx="498">
                  <c:v>-31.33658430596746</c:v>
                </c:pt>
                <c:pt idx="499">
                  <c:v>-31.536136436803098</c:v>
                </c:pt>
                <c:pt idx="500">
                  <c:v>-31.73570868187695</c:v>
                </c:pt>
                <c:pt idx="501">
                  <c:v>-31.935300139692153</c:v>
                </c:pt>
                <c:pt idx="502">
                  <c:v>-32.134909948992942</c:v>
                </c:pt>
                <c:pt idx="503">
                  <c:v>-32.334537286983107</c:v>
                </c:pt>
                <c:pt idx="504">
                  <c:v>-32.53418136762113</c:v>
                </c:pt>
                <c:pt idx="505">
                  <c:v>-32.733841439990776</c:v>
                </c:pt>
                <c:pt idx="506">
                  <c:v>-32.933516786741706</c:v>
                </c:pt>
                <c:pt idx="507">
                  <c:v>-33.13320672259956</c:v>
                </c:pt>
                <c:pt idx="508">
                  <c:v>-33.33291059294038</c:v>
                </c:pt>
                <c:pt idx="509">
                  <c:v>-33.532627772428185</c:v>
                </c:pt>
                <c:pt idx="510">
                  <c:v>-33.732357663711959</c:v>
                </c:pt>
                <c:pt idx="511">
                  <c:v>-33.932099696180124</c:v>
                </c:pt>
                <c:pt idx="512">
                  <c:v>-34.131853324770084</c:v>
                </c:pt>
                <c:pt idx="513">
                  <c:v>-34.331618028829645</c:v>
                </c:pt>
                <c:pt idx="514">
                  <c:v>-34.531393311029397</c:v>
                </c:pt>
                <c:pt idx="515">
                  <c:v>-34.731178696322509</c:v>
                </c:pt>
                <c:pt idx="516">
                  <c:v>-34.930973730950654</c:v>
                </c:pt>
                <c:pt idx="517">
                  <c:v>-35.1307779814939</c:v>
                </c:pt>
                <c:pt idx="518">
                  <c:v>-35.330591033963067</c:v>
                </c:pt>
                <c:pt idx="519">
                  <c:v>-35.530412492931582</c:v>
                </c:pt>
                <c:pt idx="520">
                  <c:v>-35.730241980706253</c:v>
                </c:pt>
                <c:pt idx="521">
                  <c:v>-35.930079136534665</c:v>
                </c:pt>
                <c:pt idx="522">
                  <c:v>-36.129923615848078</c:v>
                </c:pt>
                <c:pt idx="523">
                  <c:v>-36.329775089537421</c:v>
                </c:pt>
                <c:pt idx="524">
                  <c:v>-36.529633243261642</c:v>
                </c:pt>
                <c:pt idx="525">
                  <c:v>-36.729497776787589</c:v>
                </c:pt>
                <c:pt idx="526">
                  <c:v>-36.929368403357692</c:v>
                </c:pt>
                <c:pt idx="527">
                  <c:v>-37.129244849087328</c:v>
                </c:pt>
                <c:pt idx="528">
                  <c:v>-37.329126852388143</c:v>
                </c:pt>
                <c:pt idx="529">
                  <c:v>-37.529014163417173</c:v>
                </c:pt>
                <c:pt idx="530">
                  <c:v>-37.728906543550977</c:v>
                </c:pt>
                <c:pt idx="531">
                  <c:v>-37.928803764882844</c:v>
                </c:pt>
                <c:pt idx="532">
                  <c:v>-38.12870560974217</c:v>
                </c:pt>
                <c:pt idx="533">
                  <c:v>-38.328611870235953</c:v>
                </c:pt>
                <c:pt idx="534">
                  <c:v>-38.528522347810465</c:v>
                </c:pt>
                <c:pt idx="535">
                  <c:v>-38.72843685283221</c:v>
                </c:pt>
                <c:pt idx="536">
                  <c:v>-38.92835520418798</c:v>
                </c:pt>
                <c:pt idx="537">
                  <c:v>-39.128277228902597</c:v>
                </c:pt>
                <c:pt idx="538">
                  <c:v>-39.328202761773937</c:v>
                </c:pt>
                <c:pt idx="539">
                  <c:v>-39.528131645024168</c:v>
                </c:pt>
                <c:pt idx="540">
                  <c:v>-39.728063727966344</c:v>
                </c:pt>
                <c:pt idx="541">
                  <c:v>-39.927998866686451</c:v>
                </c:pt>
              </c:numCache>
            </c:numRef>
          </c:yVal>
          <c:smooth val="1"/>
          <c:extLst>
            <c:ext xmlns:c16="http://schemas.microsoft.com/office/drawing/2014/chart" uri="{C3380CC4-5D6E-409C-BE32-E72D297353CC}">
              <c16:uniqueId val="{00000000-0B5D-4E78-BD48-CC54C4E43363}"/>
            </c:ext>
          </c:extLst>
        </c:ser>
        <c:dLbls>
          <c:showLegendKey val="0"/>
          <c:showVal val="0"/>
          <c:showCatName val="0"/>
          <c:showSerName val="0"/>
          <c:showPercent val="0"/>
          <c:showBubbleSize val="0"/>
        </c:dLbls>
        <c:axId val="555280640"/>
        <c:axId val="365437312"/>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90.412963133845665</c:v>
                </c:pt>
                <c:pt idx="1">
                  <c:v>90.422581903770308</c:v>
                </c:pt>
                <c:pt idx="2">
                  <c:v>90.432424696655332</c:v>
                </c:pt>
                <c:pt idx="3">
                  <c:v>90.442496728736856</c:v>
                </c:pt>
                <c:pt idx="4">
                  <c:v>90.452803337614824</c:v>
                </c:pt>
                <c:pt idx="5">
                  <c:v>90.463349985070082</c:v>
                </c:pt>
                <c:pt idx="6">
                  <c:v>90.474142259946277</c:v>
                </c:pt>
                <c:pt idx="7">
                  <c:v>90.485185881098289</c:v>
                </c:pt>
                <c:pt idx="8">
                  <c:v>90.496486700408397</c:v>
                </c:pt>
                <c:pt idx="9">
                  <c:v>90.508050705871923</c:v>
                </c:pt>
                <c:pt idx="10">
                  <c:v>90.51988402475375</c:v>
                </c:pt>
                <c:pt idx="11">
                  <c:v>90.531992926817423</c:v>
                </c:pt>
                <c:pt idx="12">
                  <c:v>90.544383827628323</c:v>
                </c:pt>
                <c:pt idx="13">
                  <c:v>90.55706329193282</c:v>
                </c:pt>
                <c:pt idx="14">
                  <c:v>90.570038037114642</c:v>
                </c:pt>
                <c:pt idx="15">
                  <c:v>90.583314936730659</c:v>
                </c:pt>
                <c:pt idx="16">
                  <c:v>90.596901024127533</c:v>
                </c:pt>
                <c:pt idx="17">
                  <c:v>90.610803496141088</c:v>
                </c:pt>
                <c:pt idx="18">
                  <c:v>90.625029716880348</c:v>
                </c:pt>
                <c:pt idx="19">
                  <c:v>90.63958722159775</c:v>
                </c:pt>
                <c:pt idx="20">
                  <c:v>90.654483720647974</c:v>
                </c:pt>
                <c:pt idx="21">
                  <c:v>90.669727103536715</c:v>
                </c:pt>
                <c:pt idx="22">
                  <c:v>90.685325443061771</c:v>
                </c:pt>
                <c:pt idx="23">
                  <c:v>90.701286999548373</c:v>
                </c:pt>
                <c:pt idx="24">
                  <c:v>90.717620225180511</c:v>
                </c:pt>
                <c:pt idx="25">
                  <c:v>90.734333768430773</c:v>
                </c:pt>
                <c:pt idx="26">
                  <c:v>90.751436478590449</c:v>
                </c:pt>
                <c:pt idx="27">
                  <c:v>90.768937410402089</c:v>
                </c:pt>
                <c:pt idx="28">
                  <c:v>90.786845828796928</c:v>
                </c:pt>
                <c:pt idx="29">
                  <c:v>90.805171213738973</c:v>
                </c:pt>
                <c:pt idx="30">
                  <c:v>90.823923265178564</c:v>
                </c:pt>
                <c:pt idx="31">
                  <c:v>90.843111908116953</c:v>
                </c:pt>
                <c:pt idx="32">
                  <c:v>90.862747297784949</c:v>
                </c:pt>
                <c:pt idx="33">
                  <c:v>90.882839824937477</c:v>
                </c:pt>
                <c:pt idx="34">
                  <c:v>90.903400121266685</c:v>
                </c:pt>
                <c:pt idx="35">
                  <c:v>90.924439064935825</c:v>
                </c:pt>
                <c:pt idx="36">
                  <c:v>90.945967786236523</c:v>
                </c:pt>
                <c:pt idx="37">
                  <c:v>90.967997673371883</c:v>
                </c:pt>
                <c:pt idx="38">
                  <c:v>90.990540378367754</c:v>
                </c:pt>
                <c:pt idx="39">
                  <c:v>91.013607823114938</c:v>
                </c:pt>
                <c:pt idx="40">
                  <c:v>91.037212205544733</c:v>
                </c:pt>
                <c:pt idx="41">
                  <c:v>91.061366005940485</c:v>
                </c:pt>
                <c:pt idx="42">
                  <c:v>91.086081993387594</c:v>
                </c:pt>
                <c:pt idx="43">
                  <c:v>91.111373232364926</c:v>
                </c:pt>
                <c:pt idx="44">
                  <c:v>91.137253089479842</c:v>
                </c:pt>
                <c:pt idx="45">
                  <c:v>91.163735240349908</c:v>
                </c:pt>
                <c:pt idx="46">
                  <c:v>91.190833676633645</c:v>
                </c:pt>
                <c:pt idx="47">
                  <c:v>91.218562713213274</c:v>
                </c:pt>
                <c:pt idx="48">
                  <c:v>91.246936995531826</c:v>
                </c:pt>
                <c:pt idx="49">
                  <c:v>91.275971507087803</c:v>
                </c:pt>
                <c:pt idx="50">
                  <c:v>91.305681577089345</c:v>
                </c:pt>
                <c:pt idx="51">
                  <c:v>91.336082888271406</c:v>
                </c:pt>
                <c:pt idx="52">
                  <c:v>91.367191484877978</c:v>
                </c:pt>
                <c:pt idx="53">
                  <c:v>91.399023780812399</c:v>
                </c:pt>
                <c:pt idx="54">
                  <c:v>91.431596567958053</c:v>
                </c:pt>
                <c:pt idx="55">
                  <c:v>91.464927024672548</c:v>
                </c:pt>
                <c:pt idx="56">
                  <c:v>91.499032724457322</c:v>
                </c:pt>
                <c:pt idx="57">
                  <c:v>91.533931644805691</c:v>
                </c:pt>
                <c:pt idx="58">
                  <c:v>91.569642176231739</c:v>
                </c:pt>
                <c:pt idx="59">
                  <c:v>91.606183131482112</c:v>
                </c:pt>
                <c:pt idx="60">
                  <c:v>91.643573754933456</c:v>
                </c:pt>
                <c:pt idx="61">
                  <c:v>91.681833732177751</c:v>
                </c:pt>
                <c:pt idx="62">
                  <c:v>91.720983199797146</c:v>
                </c:pt>
                <c:pt idx="63">
                  <c:v>91.76104275533126</c:v>
                </c:pt>
                <c:pt idx="64">
                  <c:v>91.802033467438065</c:v>
                </c:pt>
                <c:pt idx="65">
                  <c:v>91.843976886250701</c:v>
                </c:pt>
                <c:pt idx="66">
                  <c:v>91.886895053931553</c:v>
                </c:pt>
                <c:pt idx="67">
                  <c:v>91.930810515425264</c:v>
                </c:pt>
                <c:pt idx="68">
                  <c:v>91.97574632941199</c:v>
                </c:pt>
                <c:pt idx="69">
                  <c:v>92.021726079461914</c:v>
                </c:pt>
                <c:pt idx="70">
                  <c:v>92.068773885392019</c:v>
                </c:pt>
                <c:pt idx="71">
                  <c:v>92.116914414825658</c:v>
                </c:pt>
                <c:pt idx="72">
                  <c:v>92.16617289495538</c:v>
                </c:pt>
                <c:pt idx="73">
                  <c:v>92.216575124509049</c:v>
                </c:pt>
                <c:pt idx="74">
                  <c:v>92.26814748591903</c:v>
                </c:pt>
                <c:pt idx="75">
                  <c:v>92.320916957693839</c:v>
                </c:pt>
                <c:pt idx="76">
                  <c:v>92.374911126991208</c:v>
                </c:pt>
                <c:pt idx="77">
                  <c:v>92.430158202391411</c:v>
                </c:pt>
                <c:pt idx="78">
                  <c:v>92.486687026868594</c:v>
                </c:pt>
                <c:pt idx="79">
                  <c:v>92.544527090958212</c:v>
                </c:pt>
                <c:pt idx="80">
                  <c:v>92.603708546117232</c:v>
                </c:pt>
                <c:pt idx="81">
                  <c:v>92.664262218274217</c:v>
                </c:pt>
                <c:pt idx="82">
                  <c:v>92.726219621564283</c:v>
                </c:pt>
                <c:pt idx="83">
                  <c:v>92.789612972245379</c:v>
                </c:pt>
                <c:pt idx="84">
                  <c:v>92.854475202789288</c:v>
                </c:pt>
                <c:pt idx="85">
                  <c:v>92.920839976141565</c:v>
                </c:pt>
                <c:pt idx="86">
                  <c:v>92.988741700143166</c:v>
                </c:pt>
                <c:pt idx="87">
                  <c:v>93.058215542105827</c:v>
                </c:pt>
                <c:pt idx="88">
                  <c:v>93.129297443531598</c:v>
                </c:pt>
                <c:pt idx="89">
                  <c:v>93.202024134967075</c:v>
                </c:pt>
                <c:pt idx="90">
                  <c:v>93.276433150980608</c:v>
                </c:pt>
                <c:pt idx="91">
                  <c:v>93.35256284524975</c:v>
                </c:pt>
                <c:pt idx="92">
                  <c:v>93.430452405745811</c:v>
                </c:pt>
                <c:pt idx="93">
                  <c:v>93.510141869999245</c:v>
                </c:pt>
                <c:pt idx="94">
                  <c:v>93.591672140429907</c:v>
                </c:pt>
                <c:pt idx="95">
                  <c:v>93.675084999723083</c:v>
                </c:pt>
                <c:pt idx="96">
                  <c:v>93.760423126231402</c:v>
                </c:pt>
                <c:pt idx="97">
                  <c:v>93.847730109380436</c:v>
                </c:pt>
                <c:pt idx="98">
                  <c:v>93.93705046505373</c:v>
                </c:pt>
                <c:pt idx="99">
                  <c:v>94.028429650931145</c:v>
                </c:pt>
                <c:pt idx="100">
                  <c:v>94.121914081751797</c:v>
                </c:pt>
                <c:pt idx="101">
                  <c:v>94.217551144470789</c:v>
                </c:pt>
                <c:pt idx="102">
                  <c:v>94.315389213275566</c:v>
                </c:pt>
                <c:pt idx="103">
                  <c:v>94.415477664425978</c:v>
                </c:pt>
                <c:pt idx="104">
                  <c:v>94.517866890878494</c:v>
                </c:pt>
                <c:pt idx="105">
                  <c:v>94.622608316651466</c:v>
                </c:pt>
                <c:pt idx="106">
                  <c:v>94.729754410886329</c:v>
                </c:pt>
                <c:pt idx="107">
                  <c:v>94.839358701554346</c:v>
                </c:pt>
                <c:pt idx="108">
                  <c:v>94.951475788755943</c:v>
                </c:pt>
                <c:pt idx="109">
                  <c:v>95.066161357555274</c:v>
                </c:pt>
                <c:pt idx="110">
                  <c:v>95.183472190288015</c:v>
                </c:pt>
                <c:pt idx="111">
                  <c:v>95.303466178276295</c:v>
                </c:pt>
                <c:pt idx="112">
                  <c:v>95.42620233287974</c:v>
                </c:pt>
                <c:pt idx="113">
                  <c:v>95.551740795806339</c:v>
                </c:pt>
                <c:pt idx="114">
                  <c:v>95.680142848601804</c:v>
                </c:pt>
                <c:pt idx="115">
                  <c:v>95.811470921229642</c:v>
                </c:pt>
                <c:pt idx="116">
                  <c:v>95.945788599649973</c:v>
                </c:pt>
                <c:pt idx="117">
                  <c:v>96.083160632295673</c:v>
                </c:pt>
                <c:pt idx="118">
                  <c:v>96.223652935342074</c:v>
                </c:pt>
                <c:pt idx="119">
                  <c:v>96.367332596654521</c:v>
                </c:pt>
                <c:pt idx="120">
                  <c:v>96.514267878295954</c:v>
                </c:pt>
                <c:pt idx="121">
                  <c:v>96.664528217464195</c:v>
                </c:pt>
                <c:pt idx="122">
                  <c:v>96.818184225724451</c:v>
                </c:pt>
                <c:pt idx="123">
                  <c:v>96.975307686392</c:v>
                </c:pt>
                <c:pt idx="124">
                  <c:v>97.135971549911432</c:v>
                </c:pt>
                <c:pt idx="125">
                  <c:v>97.300249927071206</c:v>
                </c:pt>
                <c:pt idx="126">
                  <c:v>97.468218079881652</c:v>
                </c:pt>
                <c:pt idx="127">
                  <c:v>97.639952409933755</c:v>
                </c:pt>
                <c:pt idx="128">
                  <c:v>97.815530444049301</c:v>
                </c:pt>
                <c:pt idx="129">
                  <c:v>97.995030817019753</c:v>
                </c:pt>
                <c:pt idx="130">
                  <c:v>98.178533251220259</c:v>
                </c:pt>
                <c:pt idx="131">
                  <c:v>98.366118532877053</c:v>
                </c:pt>
                <c:pt idx="132">
                  <c:v>98.557868484753286</c:v>
                </c:pt>
                <c:pt idx="133">
                  <c:v>98.753865935006729</c:v>
                </c:pt>
                <c:pt idx="134">
                  <c:v>98.954194681963045</c:v>
                </c:pt>
                <c:pt idx="135">
                  <c:v>99.158939454535016</c:v>
                </c:pt>
                <c:pt idx="136">
                  <c:v>99.368185868008553</c:v>
                </c:pt>
                <c:pt idx="137">
                  <c:v>99.582020374902271</c:v>
                </c:pt>
                <c:pt idx="138">
                  <c:v>99.800530210598637</c:v>
                </c:pt>
                <c:pt idx="139">
                  <c:v>100.02380333343304</c:v>
                </c:pt>
                <c:pt idx="140">
                  <c:v>100.25192835891453</c:v>
                </c:pt>
                <c:pt idx="141">
                  <c:v>100.48499448774552</c:v>
                </c:pt>
                <c:pt idx="142">
                  <c:v>100.72309142729443</c:v>
                </c:pt>
                <c:pt idx="143">
                  <c:v>100.96630930616942</c:v>
                </c:pt>
                <c:pt idx="144">
                  <c:v>101.21473858153291</c:v>
                </c:pt>
                <c:pt idx="145">
                  <c:v>101.46846993878893</c:v>
                </c:pt>
                <c:pt idx="146">
                  <c:v>101.72759418327243</c:v>
                </c:pt>
                <c:pt idx="147">
                  <c:v>101.99220212356539</c:v>
                </c:pt>
                <c:pt idx="148">
                  <c:v>102.26238444606116</c:v>
                </c:pt>
                <c:pt idx="149">
                  <c:v>102.53823158040468</c:v>
                </c:pt>
                <c:pt idx="150">
                  <c:v>102.81983355543201</c:v>
                </c:pt>
                <c:pt idx="151">
                  <c:v>103.10727984524553</c:v>
                </c:pt>
                <c:pt idx="152">
                  <c:v>103.40065920506692</c:v>
                </c:pt>
                <c:pt idx="153">
                  <c:v>103.70005949652324</c:v>
                </c:pt>
                <c:pt idx="154">
                  <c:v>104.0055675020384</c:v>
                </c:pt>
                <c:pt idx="155">
                  <c:v>104.31726872802535</c:v>
                </c:pt>
                <c:pt idx="156">
                  <c:v>104.63524719659608</c:v>
                </c:pt>
                <c:pt idx="157">
                  <c:v>104.95958522554186</c:v>
                </c:pt>
                <c:pt idx="158">
                  <c:v>105.29036319637079</c:v>
                </c:pt>
                <c:pt idx="159">
                  <c:v>105.62765931023149</c:v>
                </c:pt>
                <c:pt idx="160">
                  <c:v>105.97154933160346</c:v>
                </c:pt>
                <c:pt idx="161">
                  <c:v>106.32210631968866</c:v>
                </c:pt>
                <c:pt idx="162">
                  <c:v>106.67940034750367</c:v>
                </c:pt>
                <c:pt idx="163">
                  <c:v>107.04349820874059</c:v>
                </c:pt>
                <c:pt idx="164">
                  <c:v>107.41446311254848</c:v>
                </c:pt>
                <c:pt idx="165">
                  <c:v>107.79235436646738</c:v>
                </c:pt>
                <c:pt idx="166">
                  <c:v>108.17722704785098</c:v>
                </c:pt>
                <c:pt idx="167">
                  <c:v>108.56913166421063</c:v>
                </c:pt>
                <c:pt idx="168">
                  <c:v>108.96811380303254</c:v>
                </c:pt>
                <c:pt idx="169">
                  <c:v>109.37421377173708</c:v>
                </c:pt>
                <c:pt idx="170">
                  <c:v>109.78746622858213</c:v>
                </c:pt>
                <c:pt idx="171">
                  <c:v>110.20789980544832</c:v>
                </c:pt>
                <c:pt idx="172">
                  <c:v>110.6355367235905</c:v>
                </c:pt>
                <c:pt idx="173">
                  <c:v>111.07039240359077</c:v>
                </c:pt>
                <c:pt idx="174">
                  <c:v>111.51247507090756</c:v>
                </c:pt>
                <c:pt idx="175">
                  <c:v>111.96178535857679</c:v>
                </c:pt>
                <c:pt idx="176">
                  <c:v>112.41831590878797</c:v>
                </c:pt>
                <c:pt idx="177">
                  <c:v>112.88205097522636</c:v>
                </c:pt>
                <c:pt idx="178">
                  <c:v>113.35296602823699</c:v>
                </c:pt>
                <c:pt idx="179">
                  <c:v>113.83102736503696</c:v>
                </c:pt>
                <c:pt idx="180">
                  <c:v>114.31619172736229</c:v>
                </c:pt>
                <c:pt idx="181">
                  <c:v>114.80840592908429</c:v>
                </c:pt>
                <c:pt idx="182">
                  <c:v>115.30760649648448</c:v>
                </c:pt>
                <c:pt idx="183">
                  <c:v>115.81371932400376</c:v>
                </c:pt>
                <c:pt idx="184">
                  <c:v>116.32665934839545</c:v>
                </c:pt>
                <c:pt idx="185">
                  <c:v>116.84633024431433</c:v>
                </c:pt>
                <c:pt idx="186">
                  <c:v>117.37262414444682</c:v>
                </c:pt>
                <c:pt idx="187">
                  <c:v>117.90542138733363</c:v>
                </c:pt>
                <c:pt idx="188">
                  <c:v>118.4445902960593</c:v>
                </c:pt>
                <c:pt idx="189">
                  <c:v>118.98998699097095</c:v>
                </c:pt>
                <c:pt idx="190">
                  <c:v>119.54145523954057</c:v>
                </c:pt>
                <c:pt idx="191">
                  <c:v>120.09882634639945</c:v>
                </c:pt>
                <c:pt idx="192">
                  <c:v>120.66191908645131</c:v>
                </c:pt>
                <c:pt idx="193">
                  <c:v>121.23053968380212</c:v>
                </c:pt>
                <c:pt idx="194">
                  <c:v>121.80448183903673</c:v>
                </c:pt>
                <c:pt idx="195">
                  <c:v>122.38352680711755</c:v>
                </c:pt>
                <c:pt idx="196">
                  <c:v>122.96744352788797</c:v>
                </c:pt>
                <c:pt idx="197">
                  <c:v>123.55598881082264</c:v>
                </c:pt>
                <c:pt idx="198">
                  <c:v>124.14890757528865</c:v>
                </c:pt>
                <c:pt idx="199">
                  <c:v>124.7459331471678</c:v>
                </c:pt>
                <c:pt idx="200">
                  <c:v>125.3467876122379</c:v>
                </c:pt>
                <c:pt idx="201">
                  <c:v>125.95118222623354</c:v>
                </c:pt>
                <c:pt idx="202">
                  <c:v>126.55881788100476</c:v>
                </c:pt>
                <c:pt idx="203">
                  <c:v>127.16938562567113</c:v>
                </c:pt>
                <c:pt idx="204">
                  <c:v>127.78256724113751</c:v>
                </c:pt>
                <c:pt idx="205">
                  <c:v>128.3980358658055</c:v>
                </c:pt>
                <c:pt idx="206">
                  <c:v>129.01545666978521</c:v>
                </c:pt>
                <c:pt idx="207">
                  <c:v>129.63448757439812</c:v>
                </c:pt>
                <c:pt idx="208">
                  <c:v>130.25478001326371</c:v>
                </c:pt>
                <c:pt idx="209">
                  <c:v>130.87597973080864</c:v>
                </c:pt>
                <c:pt idx="210">
                  <c:v>131.49772761359978</c:v>
                </c:pt>
                <c:pt idx="211">
                  <c:v>132.11966054953623</c:v>
                </c:pt>
                <c:pt idx="212">
                  <c:v>132.74141230959677</c:v>
                </c:pt>
                <c:pt idx="213">
                  <c:v>133.36261444658172</c:v>
                </c:pt>
                <c:pt idx="214">
                  <c:v>133.98289720507702</c:v>
                </c:pt>
                <c:pt idx="215">
                  <c:v>134.60189043673441</c:v>
                </c:pt>
                <c:pt idx="216">
                  <c:v>135.21922451490065</c:v>
                </c:pt>
                <c:pt idx="217">
                  <c:v>135.8345312426201</c:v>
                </c:pt>
                <c:pt idx="218">
                  <c:v>136.44744474813402</c:v>
                </c:pt>
                <c:pt idx="219">
                  <c:v>137.05760236212157</c:v>
                </c:pt>
                <c:pt idx="220">
                  <c:v>137.6646454711661</c:v>
                </c:pt>
                <c:pt idx="221">
                  <c:v>138.26822034218625</c:v>
                </c:pt>
                <c:pt idx="222">
                  <c:v>138.86797891292377</c:v>
                </c:pt>
                <c:pt idx="223">
                  <c:v>139.46357954395566</c:v>
                </c:pt>
                <c:pt idx="224">
                  <c:v>140.0546877281343</c:v>
                </c:pt>
                <c:pt idx="225">
                  <c:v>140.64097675382808</c:v>
                </c:pt>
                <c:pt idx="226">
                  <c:v>141.2221283188334</c:v>
                </c:pt>
                <c:pt idx="227">
                  <c:v>141.7978330923402</c:v>
                </c:pt>
                <c:pt idx="228">
                  <c:v>142.36779122287462</c:v>
                </c:pt>
                <c:pt idx="229">
                  <c:v>142.93171279066976</c:v>
                </c:pt>
                <c:pt idx="230">
                  <c:v>143.48931820343992</c:v>
                </c:pt>
                <c:pt idx="231">
                  <c:v>144.04033853506792</c:v>
                </c:pt>
                <c:pt idx="232">
                  <c:v>144.58451580719759</c:v>
                </c:pt>
                <c:pt idx="233">
                  <c:v>145.12160321421075</c:v>
                </c:pt>
                <c:pt idx="234">
                  <c:v>145.65136529250557</c:v>
                </c:pt>
                <c:pt idx="235">
                  <c:v>146.17357803541216</c:v>
                </c:pt>
                <c:pt idx="236">
                  <c:v>146.68802895544604</c:v>
                </c:pt>
                <c:pt idx="237">
                  <c:v>147.19451709593511</c:v>
                </c:pt>
                <c:pt idx="238">
                  <c:v>147.69285299435262</c:v>
                </c:pt>
                <c:pt idx="239">
                  <c:v>148.18285859992201</c:v>
                </c:pt>
                <c:pt idx="240">
                  <c:v>148.66436714827688</c:v>
                </c:pt>
                <c:pt idx="241">
                  <c:v>149.13722299611129</c:v>
                </c:pt>
                <c:pt idx="242">
                  <c:v>149.60128141887802</c:v>
                </c:pt>
                <c:pt idx="243">
                  <c:v>150.05640837467263</c:v>
                </c:pt>
                <c:pt idx="244">
                  <c:v>150.50248023748412</c:v>
                </c:pt>
                <c:pt idx="245">
                  <c:v>150.93938350299942</c:v>
                </c:pt>
                <c:pt idx="246">
                  <c:v>151.3670144701268</c:v>
                </c:pt>
                <c:pt idx="247">
                  <c:v>151.78527890135365</c:v>
                </c:pt>
                <c:pt idx="248">
                  <c:v>152.19409166497138</c:v>
                </c:pt>
                <c:pt idx="249">
                  <c:v>152.59337636210961</c:v>
                </c:pt>
                <c:pt idx="250">
                  <c:v>152.98306494139641</c:v>
                </c:pt>
                <c:pt idx="251">
                  <c:v>153.36309730393668</c:v>
                </c:pt>
                <c:pt idx="252">
                  <c:v>153.73342090115318</c:v>
                </c:pt>
                <c:pt idx="253">
                  <c:v>154.09399032787638</c:v>
                </c:pt>
                <c:pt idx="254">
                  <c:v>154.444766912923</c:v>
                </c:pt>
                <c:pt idx="255">
                  <c:v>154.78571830922368</c:v>
                </c:pt>
                <c:pt idx="256">
                  <c:v>155.11681808540422</c:v>
                </c:pt>
                <c:pt idx="257">
                  <c:v>155.43804532056171</c:v>
                </c:pt>
                <c:pt idx="258">
                  <c:v>155.74938420380485</c:v>
                </c:pt>
                <c:pt idx="259">
                  <c:v>156.0508236399798</c:v>
                </c:pt>
                <c:pt idx="260">
                  <c:v>156.34235686284165</c:v>
                </c:pt>
                <c:pt idx="261">
                  <c:v>156.62398105678861</c:v>
                </c:pt>
                <c:pt idx="262">
                  <c:v>156.89569698813148</c:v>
                </c:pt>
                <c:pt idx="263">
                  <c:v>157.15750864674689</c:v>
                </c:pt>
                <c:pt idx="264">
                  <c:v>157.40942289882477</c:v>
                </c:pt>
                <c:pt idx="265">
                  <c:v>157.65144915132061</c:v>
                </c:pt>
                <c:pt idx="266">
                  <c:v>157.88359902860373</c:v>
                </c:pt>
                <c:pt idx="267">
                  <c:v>158.10588606170361</c:v>
                </c:pt>
                <c:pt idx="268">
                  <c:v>158.31832539046187</c:v>
                </c:pt>
                <c:pt idx="269">
                  <c:v>158.5209334788193</c:v>
                </c:pt>
                <c:pt idx="270">
                  <c:v>158.71372784339846</c:v>
                </c:pt>
                <c:pt idx="271">
                  <c:v>158.89672679547343</c:v>
                </c:pt>
                <c:pt idx="272">
                  <c:v>159.06994919636745</c:v>
                </c:pt>
                <c:pt idx="273">
                  <c:v>159.2334142262707</c:v>
                </c:pt>
                <c:pt idx="274">
                  <c:v>159.3871411664268</c:v>
                </c:pt>
                <c:pt idx="275">
                  <c:v>159.53114919460782</c:v>
                </c:pt>
                <c:pt idx="276">
                  <c:v>159.6654571937641</c:v>
                </c:pt>
                <c:pt idx="277">
                  <c:v>159.79008357371967</c:v>
                </c:pt>
                <c:pt idx="278">
                  <c:v>159.90504610576303</c:v>
                </c:pt>
                <c:pt idx="279">
                  <c:v>160.01036176997428</c:v>
                </c:pt>
                <c:pt idx="280">
                  <c:v>160.10604661512241</c:v>
                </c:pt>
                <c:pt idx="281">
                  <c:v>160.19211563096553</c:v>
                </c:pt>
                <c:pt idx="282">
                  <c:v>160.26858263278555</c:v>
                </c:pt>
                <c:pt idx="283">
                  <c:v>160.33546015799607</c:v>
                </c:pt>
                <c:pt idx="284">
                  <c:v>160.39275937467036</c:v>
                </c:pt>
                <c:pt idx="285">
                  <c:v>160.4404900018441</c:v>
                </c:pt>
                <c:pt idx="286">
                  <c:v>160.47866024146441</c:v>
                </c:pt>
                <c:pt idx="287">
                  <c:v>160.50727672186866</c:v>
                </c:pt>
                <c:pt idx="288">
                  <c:v>160.52634445269521</c:v>
                </c:pt>
                <c:pt idx="289">
                  <c:v>160.53586679114281</c:v>
                </c:pt>
                <c:pt idx="290">
                  <c:v>160.53584541952225</c:v>
                </c:pt>
                <c:pt idx="291">
                  <c:v>160.52628033405335</c:v>
                </c:pt>
                <c:pt idx="292">
                  <c:v>160.507169844891</c:v>
                </c:pt>
                <c:pt idx="293">
                  <c:v>160.47851058737618</c:v>
                </c:pt>
                <c:pt idx="294">
                  <c:v>160.4402975445376</c:v>
                </c:pt>
                <c:pt idx="295">
                  <c:v>160.39252408088115</c:v>
                </c:pt>
                <c:pt idx="296">
                  <c:v>160.33518198752978</c:v>
                </c:pt>
                <c:pt idx="297">
                  <c:v>160.2682615387979</c:v>
                </c:pt>
                <c:pt idx="298">
                  <c:v>160.19175156029274</c:v>
                </c:pt>
                <c:pt idx="299">
                  <c:v>160.1056395086645</c:v>
                </c:pt>
                <c:pt idx="300">
                  <c:v>160.00991156313142</c:v>
                </c:pt>
                <c:pt idx="301">
                  <c:v>159.90455272892626</c:v>
                </c:pt>
                <c:pt idx="302">
                  <c:v>159.78954695281456</c:v>
                </c:pt>
                <c:pt idx="303">
                  <c:v>159.66487725085113</c:v>
                </c:pt>
                <c:pt idx="304">
                  <c:v>159.53052584853745</c:v>
                </c:pt>
                <c:pt idx="305">
                  <c:v>159.38647433355254</c:v>
                </c:pt>
                <c:pt idx="306">
                  <c:v>159.23270382121791</c:v>
                </c:pt>
                <c:pt idx="307">
                  <c:v>159.06919513286229</c:v>
                </c:pt>
                <c:pt idx="308">
                  <c:v>158.89592898722839</c:v>
                </c:pt>
                <c:pt idx="309">
                  <c:v>158.71288620505882</c:v>
                </c:pt>
                <c:pt idx="310">
                  <c:v>158.5200479269684</c:v>
                </c:pt>
                <c:pt idx="311">
                  <c:v>158.3173958446867</c:v>
                </c:pt>
                <c:pt idx="312">
                  <c:v>158.10491244572114</c:v>
                </c:pt>
                <c:pt idx="313">
                  <c:v>157.88258127144567</c:v>
                </c:pt>
                <c:pt idx="314">
                  <c:v>157.65038718857994</c:v>
                </c:pt>
                <c:pt idx="315">
                  <c:v>157.40831667396037</c:v>
                </c:pt>
                <c:pt idx="316">
                  <c:v>157.15635811244638</c:v>
                </c:pt>
                <c:pt idx="317">
                  <c:v>156.89450210773222</c:v>
                </c:pt>
                <c:pt idx="318">
                  <c:v>156.62274180575324</c:v>
                </c:pt>
                <c:pt idx="319">
                  <c:v>156.3410732302884</c:v>
                </c:pt>
                <c:pt idx="320">
                  <c:v>156.04949563026199</c:v>
                </c:pt>
                <c:pt idx="321">
                  <c:v>155.74801183814074</c:v>
                </c:pt>
                <c:pt idx="322">
                  <c:v>155.4366286387081</c:v>
                </c:pt>
                <c:pt idx="323">
                  <c:v>155.1153571473703</c:v>
                </c:pt>
                <c:pt idx="324">
                  <c:v>154.78421319702156</c:v>
                </c:pt>
                <c:pt idx="325">
                  <c:v>154.44321773234765</c:v>
                </c:pt>
                <c:pt idx="326">
                  <c:v>154.09239721031196</c:v>
                </c:pt>
                <c:pt idx="327">
                  <c:v>153.73178400539621</c:v>
                </c:pt>
                <c:pt idx="328">
                  <c:v>153.36141681803028</c:v>
                </c:pt>
                <c:pt idx="329">
                  <c:v>152.98134108446476</c:v>
                </c:pt>
                <c:pt idx="330">
                  <c:v>152.59160938619013</c:v>
                </c:pt>
                <c:pt idx="331">
                  <c:v>152.19228185682621</c:v>
                </c:pt>
                <c:pt idx="332">
                  <c:v>151.7834265842576</c:v>
                </c:pt>
                <c:pt idx="333">
                  <c:v>151.36512000561689</c:v>
                </c:pt>
                <c:pt idx="334">
                  <c:v>150.93744729257426</c:v>
                </c:pt>
                <c:pt idx="335">
                  <c:v>150.50050272424323</c:v>
                </c:pt>
                <c:pt idx="336">
                  <c:v>150.054390044879</c:v>
                </c:pt>
                <c:pt idx="337">
                  <c:v>149.59922280343568</c:v>
                </c:pt>
                <c:pt idx="338">
                  <c:v>149.13512467193803</c:v>
                </c:pt>
                <c:pt idx="339">
                  <c:v>148.66222973956297</c:v>
                </c:pt>
                <c:pt idx="340">
                  <c:v>148.18068277925875</c:v>
                </c:pt>
                <c:pt idx="341">
                  <c:v>147.6906394837157</c:v>
                </c:pt>
                <c:pt idx="342">
                  <c:v>147.19226666751004</c:v>
                </c:pt>
                <c:pt idx="343">
                  <c:v>146.68574243228088</c:v>
                </c:pt>
                <c:pt idx="344">
                  <c:v>146.17125629188507</c:v>
                </c:pt>
                <c:pt idx="345">
                  <c:v>145.64900925459176</c:v>
                </c:pt>
                <c:pt idx="346">
                  <c:v>145.11921385954099</c:v>
                </c:pt>
                <c:pt idx="347">
                  <c:v>144.58209416489353</c:v>
                </c:pt>
                <c:pt idx="348">
                  <c:v>144.03788568534586</c:v>
                </c:pt>
                <c:pt idx="349">
                  <c:v>143.48683527697565</c:v>
                </c:pt>
                <c:pt idx="350">
                  <c:v>142.92920096771536</c:v>
                </c:pt>
                <c:pt idx="351">
                  <c:v>142.36525173212448</c:v>
                </c:pt>
                <c:pt idx="352">
                  <c:v>141.79526720954027</c:v>
                </c:pt>
                <c:pt idx="353">
                  <c:v>141.21953736513856</c:v>
                </c:pt>
                <c:pt idx="354">
                  <c:v>140.63836209389817</c:v>
                </c:pt>
                <c:pt idx="355">
                  <c:v>140.05205076798421</c:v>
                </c:pt>
                <c:pt idx="356">
                  <c:v>139.46092172855779</c:v>
                </c:pt>
                <c:pt idx="357">
                  <c:v>138.86530172357109</c:v>
                </c:pt>
                <c:pt idx="358">
                  <c:v>138.26552529362991</c:v>
                </c:pt>
                <c:pt idx="359">
                  <c:v>137.66193410853927</c:v>
                </c:pt>
                <c:pt idx="360">
                  <c:v>137.05487625766233</c:v>
                </c:pt>
                <c:pt idx="361">
                  <c:v>136.44470549772814</c:v>
                </c:pt>
                <c:pt idx="362">
                  <c:v>135.83178046218089</c:v>
                </c:pt>
                <c:pt idx="363">
                  <c:v>135.21646383660638</c:v>
                </c:pt>
                <c:pt idx="364">
                  <c:v>134.59912150514936</c:v>
                </c:pt>
                <c:pt idx="365">
                  <c:v>133.98012167317623</c:v>
                </c:pt>
                <c:pt idx="366">
                  <c:v>133.35983397170858</c:v>
                </c:pt>
                <c:pt idx="367">
                  <c:v>132.73862854937673</c:v>
                </c:pt>
                <c:pt idx="368">
                  <c:v>132.11687515777407</c:v>
                </c:pt>
                <c:pt idx="369">
                  <c:v>131.49494223618731</c:v>
                </c:pt>
                <c:pt idx="370">
                  <c:v>130.87319600167166</c:v>
                </c:pt>
                <c:pt idx="371">
                  <c:v>130.25199955036919</c:v>
                </c:pt>
                <c:pt idx="372">
                  <c:v>129.63171197585223</c:v>
                </c:pt>
                <c:pt idx="373">
                  <c:v>129.01268751004417</c:v>
                </c:pt>
                <c:pt idx="374">
                  <c:v>128.39527469202136</c:v>
                </c:pt>
                <c:pt idx="375">
                  <c:v>127.77981556966482</c:v>
                </c:pt>
                <c:pt idx="376">
                  <c:v>127.1666449387466</c:v>
                </c:pt>
                <c:pt idx="377">
                  <c:v>126.55608962362514</c:v>
                </c:pt>
                <c:pt idx="378">
                  <c:v>125.94846780324262</c:v>
                </c:pt>
                <c:pt idx="379">
                  <c:v>125.34408838563778</c:v>
                </c:pt>
                <c:pt idx="380">
                  <c:v>124.74325043366346</c:v>
                </c:pt>
                <c:pt idx="381">
                  <c:v>124.1462426440773</c:v>
                </c:pt>
                <c:pt idx="382">
                  <c:v>123.55334288163121</c:v>
                </c:pt>
                <c:pt idx="383">
                  <c:v>122.96481776926363</c:v>
                </c:pt>
                <c:pt idx="384">
                  <c:v>122.38092233497322</c:v>
                </c:pt>
                <c:pt idx="385">
                  <c:v>121.80189971544904</c:v>
                </c:pt>
                <c:pt idx="386">
                  <c:v>121.22798091606157</c:v>
                </c:pt>
                <c:pt idx="387">
                  <c:v>120.65938462635766</c:v>
                </c:pt>
                <c:pt idx="388">
                  <c:v>120.09631708979762</c:v>
                </c:pt>
                <c:pt idx="389">
                  <c:v>119.5389720260862</c:v>
                </c:pt>
                <c:pt idx="390">
                  <c:v>118.98753060411904</c:v>
                </c:pt>
                <c:pt idx="391">
                  <c:v>118.44216146326426</c:v>
                </c:pt>
                <c:pt idx="392">
                  <c:v>117.90302078044724</c:v>
                </c:pt>
                <c:pt idx="393">
                  <c:v>117.37025238030316</c:v>
                </c:pt>
                <c:pt idx="394">
                  <c:v>116.84398788548873</c:v>
                </c:pt>
                <c:pt idx="395">
                  <c:v>116.32434690412192</c:v>
                </c:pt>
                <c:pt idx="396">
                  <c:v>115.81143725123813</c:v>
                </c:pt>
                <c:pt idx="397">
                  <c:v>115.30535520109744</c:v>
                </c:pt>
                <c:pt idx="398">
                  <c:v>114.80618576717416</c:v>
                </c:pt>
                <c:pt idx="399">
                  <c:v>114.31400300666796</c:v>
                </c:pt>
                <c:pt idx="400">
                  <c:v>113.82887034644074</c:v>
                </c:pt>
                <c:pt idx="401">
                  <c:v>113.35084092734371</c:v>
                </c:pt>
                <c:pt idx="402">
                  <c:v>112.87995796400557</c:v>
                </c:pt>
                <c:pt idx="403">
                  <c:v>112.41625511726485</c:v>
                </c:pt>
                <c:pt idx="404">
                  <c:v>111.95975687656421</c:v>
                </c:pt>
                <c:pt idx="405">
                  <c:v>111.5104789497651</c:v>
                </c:pt>
                <c:pt idx="406">
                  <c:v>111.06842865800043</c:v>
                </c:pt>
                <c:pt idx="407">
                  <c:v>110.63360533334085</c:v>
                </c:pt>
                <c:pt idx="408">
                  <c:v>110.20600071721846</c:v>
                </c:pt>
                <c:pt idx="409">
                  <c:v>109.78559935771548</c:v>
                </c:pt>
                <c:pt idx="410">
                  <c:v>109.37237900399931</c:v>
                </c:pt>
                <c:pt idx="411">
                  <c:v>108.96631099634655</c:v>
                </c:pt>
                <c:pt idx="412">
                  <c:v>108.56736065036232</c:v>
                </c:pt>
                <c:pt idx="413">
                  <c:v>108.17548763416153</c:v>
                </c:pt>
                <c:pt idx="414">
                  <c:v>107.7906463374264</c:v>
                </c:pt>
                <c:pt idx="415">
                  <c:v>107.41278623140532</c:v>
                </c:pt>
                <c:pt idx="416">
                  <c:v>107.04185221904913</c:v>
                </c:pt>
                <c:pt idx="417">
                  <c:v>106.67778497461894</c:v>
                </c:pt>
                <c:pt idx="418">
                  <c:v>106.32052127221348</c:v>
                </c:pt>
                <c:pt idx="419">
                  <c:v>105.96999430278102</c:v>
                </c:pt>
                <c:pt idx="420">
                  <c:v>105.62613397928664</c:v>
                </c:pt>
                <c:pt idx="421">
                  <c:v>105.28886722979441</c:v>
                </c:pt>
                <c:pt idx="422">
                  <c:v>104.95811827832219</c:v>
                </c:pt>
                <c:pt idx="423">
                  <c:v>104.63380891339332</c:v>
                </c:pt>
                <c:pt idx="424">
                  <c:v>104.31585874429253</c:v>
                </c:pt>
                <c:pt idx="425">
                  <c:v>104.00418544508739</c:v>
                </c:pt>
                <c:pt idx="426">
                  <c:v>103.69870498653579</c:v>
                </c:pt>
                <c:pt idx="427">
                  <c:v>103.39933185605442</c:v>
                </c:pt>
                <c:pt idx="428">
                  <c:v>103.10597926595545</c:v>
                </c:pt>
                <c:pt idx="429">
                  <c:v>102.81855935020403</c:v>
                </c:pt>
                <c:pt idx="430">
                  <c:v>102.53698334997738</c:v>
                </c:pt>
                <c:pt idx="431">
                  <c:v>102.26116178832999</c:v>
                </c:pt>
                <c:pt idx="432">
                  <c:v>101.99100463429535</c:v>
                </c:pt>
                <c:pt idx="433">
                  <c:v>101.72642145676481</c:v>
                </c:pt>
                <c:pt idx="434">
                  <c:v>101.46732156850423</c:v>
                </c:pt>
                <c:pt idx="435">
                  <c:v>101.21361416067374</c:v>
                </c:pt>
                <c:pt idx="436">
                  <c:v>100.9652084282214</c:v>
                </c:pt>
                <c:pt idx="437">
                  <c:v>100.72201368653015</c:v>
                </c:pt>
                <c:pt idx="438">
                  <c:v>100.48393947969144</c:v>
                </c:pt>
                <c:pt idx="439">
                  <c:v>100.25089568078262</c:v>
                </c:pt>
                <c:pt idx="440">
                  <c:v>100.02279258451937</c:v>
                </c:pt>
                <c:pt idx="441">
                  <c:v>99.799540992650094</c:v>
                </c:pt>
                <c:pt idx="442">
                  <c:v>99.581052292453521</c:v>
                </c:pt>
                <c:pt idx="443">
                  <c:v>99.367238528689995</c:v>
                </c:pt>
                <c:pt idx="444">
                  <c:v>99.158012469354091</c:v>
                </c:pt>
                <c:pt idx="445">
                  <c:v>98.953287665559714</c:v>
                </c:pt>
                <c:pt idx="446">
                  <c:v>98.752978505885338</c:v>
                </c:pt>
                <c:pt idx="447">
                  <c:v>98.557000265490913</c:v>
                </c:pt>
                <c:pt idx="448">
                  <c:v>98.365269150311107</c:v>
                </c:pt>
                <c:pt idx="449">
                  <c:v>98.177702336615738</c:v>
                </c:pt>
                <c:pt idx="450">
                  <c:v>97.99421800621765</c:v>
                </c:pt>
                <c:pt idx="451">
                  <c:v>97.814735377597245</c:v>
                </c:pt>
                <c:pt idx="452">
                  <c:v>97.639174733200079</c:v>
                </c:pt>
                <c:pt idx="453">
                  <c:v>97.467457443154245</c:v>
                </c:pt>
                <c:pt idx="454">
                  <c:v>97.299505985641346</c:v>
                </c:pt>
                <c:pt idx="455">
                  <c:v>97.135243964144252</c:v>
                </c:pt>
                <c:pt idx="456">
                  <c:v>96.974596121785027</c:v>
                </c:pt>
                <c:pt idx="457">
                  <c:v>96.817488352953532</c:v>
                </c:pt>
                <c:pt idx="458">
                  <c:v>96.663847712419027</c:v>
                </c:pt>
                <c:pt idx="459">
                  <c:v>96.51360242210562</c:v>
                </c:pt>
                <c:pt idx="460">
                  <c:v>96.366681875703463</c:v>
                </c:pt>
                <c:pt idx="461">
                  <c:v>96.223016641277468</c:v>
                </c:pt>
                <c:pt idx="462">
                  <c:v>96.082538462027188</c:v>
                </c:pt>
                <c:pt idx="463">
                  <c:v>95.945180255341597</c:v>
                </c:pt>
                <c:pt idx="464">
                  <c:v>95.810876110285434</c:v>
                </c:pt>
                <c:pt idx="465">
                  <c:v>95.679561283644901</c:v>
                </c:pt>
                <c:pt idx="466">
                  <c:v>95.551172194652793</c:v>
                </c:pt>
                <c:pt idx="467">
                  <c:v>95.425646418506687</c:v>
                </c:pt>
                <c:pt idx="468">
                  <c:v>95.302922678785876</c:v>
                </c:pt>
                <c:pt idx="469">
                  <c:v>95.182940838866855</c:v>
                </c:pt>
                <c:pt idx="470">
                  <c:v>95.065641892429952</c:v>
                </c:pt>
                <c:pt idx="471">
                  <c:v>94.950967953145167</c:v>
                </c:pt>
                <c:pt idx="472">
                  <c:v>94.838862243617868</c:v>
                </c:pt>
                <c:pt idx="473">
                  <c:v>94.729269083671113</c:v>
                </c:pt>
                <c:pt idx="474">
                  <c:v>94.622133878035314</c:v>
                </c:pt>
                <c:pt idx="475">
                  <c:v>94.517403103511484</c:v>
                </c:pt>
                <c:pt idx="476">
                  <c:v>94.415024295669966</c:v>
                </c:pt>
                <c:pt idx="477">
                  <c:v>94.314946035141872</c:v>
                </c:pt>
                <c:pt idx="478">
                  <c:v>94.217117933556636</c:v>
                </c:pt>
                <c:pt idx="479">
                  <c:v>94.121490619175276</c:v>
                </c:pt>
                <c:pt idx="480">
                  <c:v>94.028015722265081</c:v>
                </c:pt>
                <c:pt idx="481">
                  <c:v>93.936645860259119</c:v>
                </c:pt>
                <c:pt idx="482">
                  <c:v>93.847334622738515</c:v>
                </c:pt>
                <c:pt idx="483">
                  <c:v>93.760036556275608</c:v>
                </c:pt>
                <c:pt idx="484">
                  <c:v>93.674707149170644</c:v>
                </c:pt>
                <c:pt idx="485">
                  <c:v>93.591302816112815</c:v>
                </c:pt>
                <c:pt idx="486">
                  <c:v>93.509780882795397</c:v>
                </c:pt>
                <c:pt idx="487">
                  <c:v>93.430099570509896</c:v>
                </c:pt>
                <c:pt idx="488">
                  <c:v>93.352217980744541</c:v>
                </c:pt>
                <c:pt idx="489">
                  <c:v>93.276096079807871</c:v>
                </c:pt>
                <c:pt idx="490">
                  <c:v>93.201694683499326</c:v>
                </c:pt>
                <c:pt idx="491">
                  <c:v>93.128975441843707</c:v>
                </c:pt>
                <c:pt idx="492">
                  <c:v>93.057900823907275</c:v>
                </c:pt>
                <c:pt idx="493">
                  <c:v>92.988434102710769</c:v>
                </c:pt>
                <c:pt idx="494">
                  <c:v>92.920539340252546</c:v>
                </c:pt>
                <c:pt idx="495">
                  <c:v>92.854181372655205</c:v>
                </c:pt>
                <c:pt idx="496">
                  <c:v>92.789325795446331</c:v>
                </c:pt>
                <c:pt idx="497">
                  <c:v>92.725938948984094</c:v>
                </c:pt>
                <c:pt idx="498">
                  <c:v>92.663987904036162</c:v>
                </c:pt>
                <c:pt idx="499">
                  <c:v>92.603440447520583</c:v>
                </c:pt>
                <c:pt idx="500">
                  <c:v>92.544265068415385</c:v>
                </c:pt>
                <c:pt idx="501">
                  <c:v>92.486430943843416</c:v>
                </c:pt>
                <c:pt idx="502">
                  <c:v>92.429907925337901</c:v>
                </c:pt>
                <c:pt idx="503">
                  <c:v>92.374666525293307</c:v>
                </c:pt>
                <c:pt idx="504">
                  <c:v>92.320677903606025</c:v>
                </c:pt>
                <c:pt idx="505">
                  <c:v>92.267913854507867</c:v>
                </c:pt>
                <c:pt idx="506">
                  <c:v>92.216346793595335</c:v>
                </c:pt>
                <c:pt idx="507">
                  <c:v>92.165949745057588</c:v>
                </c:pt>
                <c:pt idx="508">
                  <c:v>92.116696329103974</c:v>
                </c:pt>
                <c:pt idx="509">
                  <c:v>92.068560749593388</c:v>
                </c:pt>
                <c:pt idx="510">
                  <c:v>92.021517781866038</c:v>
                </c:pt>
                <c:pt idx="511">
                  <c:v>91.975542760778154</c:v>
                </c:pt>
                <c:pt idx="512">
                  <c:v>91.930611568940137</c:v>
                </c:pt>
                <c:pt idx="513">
                  <c:v>91.886700625157815</c:v>
                </c:pt>
                <c:pt idx="514">
                  <c:v>91.843786873076724</c:v>
                </c:pt>
                <c:pt idx="515">
                  <c:v>91.801847770028303</c:v>
                </c:pt>
                <c:pt idx="516">
                  <c:v>91.760861276077762</c:v>
                </c:pt>
                <c:pt idx="517">
                  <c:v>91.720805843271748</c:v>
                </c:pt>
                <c:pt idx="518">
                  <c:v>91.681660405085267</c:v>
                </c:pt>
                <c:pt idx="519">
                  <c:v>91.643404366065781</c:v>
                </c:pt>
                <c:pt idx="520">
                  <c:v>91.606017591673051</c:v>
                </c:pt>
                <c:pt idx="521">
                  <c:v>91.569480398312948</c:v>
                </c:pt>
                <c:pt idx="522">
                  <c:v>91.533773543563228</c:v>
                </c:pt>
                <c:pt idx="523">
                  <c:v>91.498878216589119</c:v>
                </c:pt>
                <c:pt idx="524">
                  <c:v>91.464776028746854</c:v>
                </c:pt>
                <c:pt idx="525">
                  <c:v>91.431449004372425</c:v>
                </c:pt>
                <c:pt idx="526">
                  <c:v>91.398879571753781</c:v>
                </c:pt>
                <c:pt idx="527">
                  <c:v>91.367050554283495</c:v>
                </c:pt>
                <c:pt idx="528">
                  <c:v>91.335945161789866</c:v>
                </c:pt>
                <c:pt idx="529">
                  <c:v>91.305546982043595</c:v>
                </c:pt>
                <c:pt idx="530">
                  <c:v>91.275839972437936</c:v>
                </c:pt>
                <c:pt idx="531">
                  <c:v>91.246808451838902</c:v>
                </c:pt>
                <c:pt idx="532">
                  <c:v>91.218437092604049</c:v>
                </c:pt>
                <c:pt idx="533">
                  <c:v>91.190710912765951</c:v>
                </c:pt>
                <c:pt idx="534">
                  <c:v>91.163615268378649</c:v>
                </c:pt>
                <c:pt idx="535">
                  <c:v>91.13713584602381</c:v>
                </c:pt>
                <c:pt idx="536">
                  <c:v>91.111258655474316</c:v>
                </c:pt>
                <c:pt idx="537">
                  <c:v>91.085970022512171</c:v>
                </c:pt>
                <c:pt idx="538">
                  <c:v>91.061256581898391</c:v>
                </c:pt>
                <c:pt idx="539">
                  <c:v>91.037105270492091</c:v>
                </c:pt>
                <c:pt idx="540">
                  <c:v>91.013503320515895</c:v>
                </c:pt>
                <c:pt idx="541">
                  <c:v>90.990438252965347</c:v>
                </c:pt>
              </c:numCache>
            </c:numRef>
          </c:yVal>
          <c:smooth val="1"/>
          <c:extLst>
            <c:ext xmlns:c16="http://schemas.microsoft.com/office/drawing/2014/chart" uri="{C3380CC4-5D6E-409C-BE32-E72D297353CC}">
              <c16:uniqueId val="{00000001-0B5D-4E78-BD48-CC54C4E43363}"/>
            </c:ext>
          </c:extLst>
        </c:ser>
        <c:dLbls>
          <c:showLegendKey val="0"/>
          <c:showVal val="0"/>
          <c:showCatName val="0"/>
          <c:showSerName val="0"/>
          <c:showPercent val="0"/>
          <c:showBubbleSize val="0"/>
        </c:dLbls>
        <c:axId val="365441024"/>
        <c:axId val="365439232"/>
      </c:scatterChart>
      <c:valAx>
        <c:axId val="555280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37312"/>
        <c:crosses val="autoZero"/>
        <c:crossBetween val="midCat"/>
      </c:valAx>
      <c:valAx>
        <c:axId val="365437312"/>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80640"/>
        <c:crosses val="autoZero"/>
        <c:crossBetween val="midCat"/>
        <c:majorUnit val="20"/>
        <c:minorUnit val="10"/>
      </c:valAx>
      <c:valAx>
        <c:axId val="365439232"/>
        <c:scaling>
          <c:orientation val="minMax"/>
          <c:max val="180"/>
          <c:min val="-180"/>
        </c:scaling>
        <c:delete val="0"/>
        <c:axPos val="r"/>
        <c:numFmt formatCode="General" sourceLinked="1"/>
        <c:majorTickMark val="out"/>
        <c:minorTickMark val="none"/>
        <c:tickLblPos val="nextTo"/>
        <c:crossAx val="365441024"/>
        <c:crosses val="max"/>
        <c:crossBetween val="midCat"/>
        <c:majorUnit val="90"/>
        <c:minorUnit val="45"/>
      </c:valAx>
      <c:valAx>
        <c:axId val="365441024"/>
        <c:scaling>
          <c:logBase val="10"/>
          <c:orientation val="minMax"/>
        </c:scaling>
        <c:delete val="1"/>
        <c:axPos val="b"/>
        <c:numFmt formatCode="0.00" sourceLinked="1"/>
        <c:majorTickMark val="out"/>
        <c:minorTickMark val="none"/>
        <c:tickLblPos val="nextTo"/>
        <c:crossAx val="365439232"/>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63.496798751706223</c:v>
                </c:pt>
                <c:pt idx="1">
                  <c:v>63.296760480083492</c:v>
                </c:pt>
                <c:pt idx="2">
                  <c:v>63.096720405349451</c:v>
                </c:pt>
                <c:pt idx="3">
                  <c:v>62.896678442581631</c:v>
                </c:pt>
                <c:pt idx="4">
                  <c:v>62.696634502860569</c:v>
                </c:pt>
                <c:pt idx="5">
                  <c:v>62.496588493081866</c:v>
                </c:pt>
                <c:pt idx="6">
                  <c:v>62.29654031575982</c:v>
                </c:pt>
                <c:pt idx="7">
                  <c:v>62.096489868821394</c:v>
                </c:pt>
                <c:pt idx="8">
                  <c:v>61.896437045390805</c:v>
                </c:pt>
                <c:pt idx="9">
                  <c:v>61.696381733563584</c:v>
                </c:pt>
                <c:pt idx="10">
                  <c:v>61.496323816170857</c:v>
                </c:pt>
                <c:pt idx="11">
                  <c:v>61.296263170531979</c:v>
                </c:pt>
                <c:pt idx="12">
                  <c:v>61.09619966819551</c:v>
                </c:pt>
                <c:pt idx="13">
                  <c:v>60.896133174668698</c:v>
                </c:pt>
                <c:pt idx="14">
                  <c:v>60.69606354913369</c:v>
                </c:pt>
                <c:pt idx="15">
                  <c:v>60.49599064415073</c:v>
                </c:pt>
                <c:pt idx="16">
                  <c:v>60.295914305347786</c:v>
                </c:pt>
                <c:pt idx="17">
                  <c:v>60.095834371094973</c:v>
                </c:pt>
                <c:pt idx="18">
                  <c:v>59.895750672164496</c:v>
                </c:pt>
                <c:pt idx="19">
                  <c:v>59.695663031374409</c:v>
                </c:pt>
                <c:pt idx="20">
                  <c:v>59.49557126321551</c:v>
                </c:pt>
                <c:pt idx="21">
                  <c:v>59.29547517346171</c:v>
                </c:pt>
                <c:pt idx="22">
                  <c:v>59.095374558761151</c:v>
                </c:pt>
                <c:pt idx="23">
                  <c:v>58.895269206208987</c:v>
                </c:pt>
                <c:pt idx="24">
                  <c:v>58.695158892900139</c:v>
                </c:pt>
                <c:pt idx="25">
                  <c:v>58.495043385461464</c:v>
                </c:pt>
                <c:pt idx="26">
                  <c:v>58.29492243956139</c:v>
                </c:pt>
                <c:pt idx="27">
                  <c:v>58.094795799398071</c:v>
                </c:pt>
                <c:pt idx="28">
                  <c:v>57.89466319716243</c:v>
                </c:pt>
                <c:pt idx="29">
                  <c:v>57.694524352477529</c:v>
                </c:pt>
                <c:pt idx="30">
                  <c:v>57.494378971810832</c:v>
                </c:pt>
                <c:pt idx="31">
                  <c:v>57.294226747860449</c:v>
                </c:pt>
                <c:pt idx="32">
                  <c:v>57.094067358911744</c:v>
                </c:pt>
                <c:pt idx="33">
                  <c:v>56.893900468165334</c:v>
                </c:pt>
                <c:pt idx="34">
                  <c:v>56.69372572303331</c:v>
                </c:pt>
                <c:pt idx="35">
                  <c:v>56.493542754403414</c:v>
                </c:pt>
                <c:pt idx="36">
                  <c:v>56.293351175868992</c:v>
                </c:pt>
                <c:pt idx="37">
                  <c:v>56.093150582923961</c:v>
                </c:pt>
                <c:pt idx="38">
                  <c:v>55.892940552120223</c:v>
                </c:pt>
                <c:pt idx="39">
                  <c:v>55.692720640186877</c:v>
                </c:pt>
                <c:pt idx="40">
                  <c:v>55.492490383108745</c:v>
                </c:pt>
                <c:pt idx="41">
                  <c:v>55.292249295162918</c:v>
                </c:pt>
                <c:pt idx="42">
                  <c:v>55.091996867911035</c:v>
                </c:pt>
                <c:pt idx="43">
                  <c:v>54.891732569145518</c:v>
                </c:pt>
                <c:pt idx="44">
                  <c:v>54.691455841788354</c:v>
                </c:pt>
                <c:pt idx="45">
                  <c:v>54.491166102738617</c:v>
                </c:pt>
                <c:pt idx="46">
                  <c:v>54.290862741669116</c:v>
                </c:pt>
                <c:pt idx="47">
                  <c:v>54.090545119766809</c:v>
                </c:pt>
                <c:pt idx="48">
                  <c:v>53.890212568417965</c:v>
                </c:pt>
                <c:pt idx="49">
                  <c:v>53.689864387831875</c:v>
                </c:pt>
                <c:pt idx="50">
                  <c:v>53.489499845604797</c:v>
                </c:pt>
                <c:pt idx="51">
                  <c:v>53.289118175217098</c:v>
                </c:pt>
                <c:pt idx="52">
                  <c:v>53.088718574464686</c:v>
                </c:pt>
                <c:pt idx="53">
                  <c:v>52.888300203819078</c:v>
                </c:pt>
                <c:pt idx="54">
                  <c:v>52.687862184714703</c:v>
                </c:pt>
                <c:pt idx="55">
                  <c:v>52.487403597759858</c:v>
                </c:pt>
                <c:pt idx="56">
                  <c:v>52.28692348086782</c:v>
                </c:pt>
                <c:pt idx="57">
                  <c:v>52.086420827306398</c:v>
                </c:pt>
                <c:pt idx="58">
                  <c:v>51.885894583658931</c:v>
                </c:pt>
                <c:pt idx="59">
                  <c:v>51.68534364769868</c:v>
                </c:pt>
                <c:pt idx="60">
                  <c:v>51.484766866167419</c:v>
                </c:pt>
                <c:pt idx="61">
                  <c:v>51.284163032457862</c:v>
                </c:pt>
                <c:pt idx="62">
                  <c:v>51.083530884195952</c:v>
                </c:pt>
                <c:pt idx="63">
                  <c:v>50.882869100716846</c:v>
                </c:pt>
                <c:pt idx="64">
                  <c:v>50.682176300433248</c:v>
                </c:pt>
                <c:pt idx="65">
                  <c:v>50.481451038089787</c:v>
                </c:pt>
                <c:pt idx="66">
                  <c:v>50.280691801900154</c:v>
                </c:pt>
                <c:pt idx="67">
                  <c:v>50.079897010562476</c:v>
                </c:pt>
                <c:pt idx="68">
                  <c:v>49.879065010148722</c:v>
                </c:pt>
                <c:pt idx="69">
                  <c:v>49.678194070862396</c:v>
                </c:pt>
                <c:pt idx="70">
                  <c:v>49.47728238366053</c:v>
                </c:pt>
                <c:pt idx="71">
                  <c:v>49.27632805673607</c:v>
                </c:pt>
                <c:pt idx="72">
                  <c:v>49.075329111854238</c:v>
                </c:pt>
                <c:pt idx="73">
                  <c:v>48.874283480538537</c:v>
                </c:pt>
                <c:pt idx="74">
                  <c:v>48.673189000101644</c:v>
                </c:pt>
                <c:pt idx="75">
                  <c:v>48.47204340951631</c:v>
                </c:pt>
                <c:pt idx="76">
                  <c:v>48.27084434511994</c:v>
                </c:pt>
                <c:pt idx="77">
                  <c:v>48.069589336149591</c:v>
                </c:pt>
                <c:pt idx="78">
                  <c:v>47.868275800100832</c:v>
                </c:pt>
                <c:pt idx="79">
                  <c:v>47.66690103790598</c:v>
                </c:pt>
                <c:pt idx="80">
                  <c:v>47.465462228927102</c:v>
                </c:pt>
                <c:pt idx="81">
                  <c:v>47.263956425757513</c:v>
                </c:pt>
                <c:pt idx="82">
                  <c:v>47.062380548828827</c:v>
                </c:pt>
                <c:pt idx="83">
                  <c:v>46.860731380817349</c:v>
                </c:pt>
                <c:pt idx="84">
                  <c:v>46.659005560845969</c:v>
                </c:pt>
                <c:pt idx="85">
                  <c:v>46.457199578477038</c:v>
                </c:pt>
                <c:pt idx="86">
                  <c:v>46.255309767492612</c:v>
                </c:pt>
                <c:pt idx="87">
                  <c:v>46.053332299457665</c:v>
                </c:pt>
                <c:pt idx="88">
                  <c:v>45.85126317706407</c:v>
                </c:pt>
                <c:pt idx="89">
                  <c:v>45.649098227251173</c:v>
                </c:pt>
                <c:pt idx="90">
                  <c:v>45.446833094101116</c:v>
                </c:pt>
                <c:pt idx="91">
                  <c:v>45.244463231508192</c:v>
                </c:pt>
                <c:pt idx="92">
                  <c:v>45.041983895618984</c:v>
                </c:pt>
                <c:pt idx="93">
                  <c:v>44.839390137044646</c:v>
                </c:pt>
                <c:pt idx="94">
                  <c:v>44.636676792845591</c:v>
                </c:pt>
                <c:pt idx="95">
                  <c:v>44.433838478288934</c:v>
                </c:pt>
                <c:pt idx="96">
                  <c:v>44.230869578382325</c:v>
                </c:pt>
                <c:pt idx="97">
                  <c:v>44.027764239187768</c:v>
                </c:pt>
                <c:pt idx="98">
                  <c:v>43.824516358919865</c:v>
                </c:pt>
                <c:pt idx="99">
                  <c:v>43.621119578835554</c:v>
                </c:pt>
                <c:pt idx="100">
                  <c:v>43.417567273923197</c:v>
                </c:pt>
                <c:pt idx="101">
                  <c:v>43.213852543400833</c:v>
                </c:pt>
                <c:pt idx="102">
                  <c:v>43.009968201036237</c:v>
                </c:pt>
                <c:pt idx="103">
                  <c:v>42.805906765301856</c:v>
                </c:pt>
                <c:pt idx="104">
                  <c:v>42.601660449381534</c:v>
                </c:pt>
                <c:pt idx="105">
                  <c:v>42.397221151048143</c:v>
                </c:pt>
                <c:pt idx="106">
                  <c:v>42.192580442433695</c:v>
                </c:pt>
                <c:pt idx="107">
                  <c:v>41.987729559716733</c:v>
                </c:pt>
                <c:pt idx="108">
                  <c:v>41.782659392755185</c:v>
                </c:pt>
                <c:pt idx="109">
                  <c:v>41.577360474696675</c:v>
                </c:pt>
                <c:pt idx="110">
                  <c:v>41.371822971600658</c:v>
                </c:pt>
                <c:pt idx="111">
                  <c:v>41.166036672113691</c:v>
                </c:pt>
                <c:pt idx="112">
                  <c:v>40.95999097723989</c:v>
                </c:pt>
                <c:pt idx="113">
                  <c:v>40.753674890256761</c:v>
                </c:pt>
                <c:pt idx="114">
                  <c:v>40.547077006829085</c:v>
                </c:pt>
                <c:pt idx="115">
                  <c:v>40.340185505379942</c:v>
                </c:pt>
                <c:pt idx="116">
                  <c:v>40.132988137783897</c:v>
                </c:pt>
                <c:pt idx="117">
                  <c:v>39.925472220451852</c:v>
                </c:pt>
                <c:pt idx="118">
                  <c:v>39.717624625885051</c:v>
                </c:pt>
                <c:pt idx="119">
                  <c:v>39.509431774780325</c:v>
                </c:pt>
                <c:pt idx="120">
                  <c:v>39.300879628777984</c:v>
                </c:pt>
                <c:pt idx="121">
                  <c:v>39.091953683947274</c:v>
                </c:pt>
                <c:pt idx="122">
                  <c:v>38.882638965114694</c:v>
                </c:pt>
                <c:pt idx="123">
                  <c:v>38.672920021146624</c:v>
                </c:pt>
                <c:pt idx="124">
                  <c:v>38.462780921304955</c:v>
                </c:pt>
                <c:pt idx="125">
                  <c:v>38.252205252802263</c:v>
                </c:pt>
                <c:pt idx="126">
                  <c:v>38.041176119691926</c:v>
                </c:pt>
                <c:pt idx="127">
                  <c:v>37.829676143233826</c:v>
                </c:pt>
                <c:pt idx="128">
                  <c:v>37.617687463887194</c:v>
                </c:pt>
                <c:pt idx="129">
                  <c:v>37.40519174508524</c:v>
                </c:pt>
                <c:pt idx="130">
                  <c:v>37.192170178958108</c:v>
                </c:pt>
                <c:pt idx="131">
                  <c:v>36.978603494173406</c:v>
                </c:pt>
                <c:pt idx="132">
                  <c:v>36.764471966070957</c:v>
                </c:pt>
                <c:pt idx="133">
                  <c:v>36.549755429275173</c:v>
                </c:pt>
                <c:pt idx="134">
                  <c:v>36.334433292970317</c:v>
                </c:pt>
                <c:pt idx="135">
                  <c:v>36.118484559029739</c:v>
                </c:pt>
                <c:pt idx="136">
                  <c:v>35.901887843191169</c:v>
                </c:pt>
                <c:pt idx="137">
                  <c:v>35.684621399471624</c:v>
                </c:pt>
                <c:pt idx="138">
                  <c:v>35.466663148013964</c:v>
                </c:pt>
                <c:pt idx="139">
                  <c:v>35.24799070655601</c:v>
                </c:pt>
                <c:pt idx="140">
                  <c:v>35.028581425706591</c:v>
                </c:pt>
                <c:pt idx="141">
                  <c:v>34.808412428207568</c:v>
                </c:pt>
                <c:pt idx="142">
                  <c:v>34.587460652351581</c:v>
                </c:pt>
                <c:pt idx="143">
                  <c:v>34.365702899710982</c:v>
                </c:pt>
                <c:pt idx="144">
                  <c:v>34.143115887321144</c:v>
                </c:pt>
                <c:pt idx="145">
                  <c:v>33.919676304441666</c:v>
                </c:pt>
                <c:pt idx="146">
                  <c:v>33.695360873997181</c:v>
                </c:pt>
                <c:pt idx="147">
                  <c:v>33.470146418775244</c:v>
                </c:pt>
                <c:pt idx="148">
                  <c:v>33.244009932429897</c:v>
                </c:pt>
                <c:pt idx="149">
                  <c:v>33.016928655306508</c:v>
                </c:pt>
                <c:pt idx="150">
                  <c:v>32.788880155068931</c:v>
                </c:pt>
                <c:pt idx="151">
                  <c:v>32.559842412067098</c:v>
                </c:pt>
                <c:pt idx="152">
                  <c:v>32.329793909344062</c:v>
                </c:pt>
                <c:pt idx="153">
                  <c:v>32.09871372712891</c:v>
                </c:pt>
                <c:pt idx="154">
                  <c:v>31.866581641617209</c:v>
                </c:pt>
                <c:pt idx="155">
                  <c:v>31.633378227781947</c:v>
                </c:pt>
                <c:pt idx="156">
                  <c:v>31.399084965904901</c:v>
                </c:pt>
                <c:pt idx="157">
                  <c:v>31.163684351459516</c:v>
                </c:pt>
                <c:pt idx="158">
                  <c:v>30.92716000791377</c:v>
                </c:pt>
                <c:pt idx="159">
                  <c:v>30.689496801964466</c:v>
                </c:pt>
                <c:pt idx="160">
                  <c:v>30.450680960648878</c:v>
                </c:pt>
                <c:pt idx="161">
                  <c:v>30.21070018972074</c:v>
                </c:pt>
                <c:pt idx="162">
                  <c:v>29.969543792618538</c:v>
                </c:pt>
                <c:pt idx="163">
                  <c:v>29.727202789294253</c:v>
                </c:pt>
                <c:pt idx="164">
                  <c:v>29.483670034119307</c:v>
                </c:pt>
                <c:pt idx="165">
                  <c:v>29.23894033203382</c:v>
                </c:pt>
                <c:pt idx="166">
                  <c:v>28.993010552060454</c:v>
                </c:pt>
                <c:pt idx="167">
                  <c:v>28.745879737267302</c:v>
                </c:pt>
                <c:pt idx="168">
                  <c:v>28.497549210234226</c:v>
                </c:pt>
                <c:pt idx="169">
                  <c:v>28.248022673053551</c:v>
                </c:pt>
                <c:pt idx="170">
                  <c:v>27.997306300885754</c:v>
                </c:pt>
                <c:pt idx="171">
                  <c:v>27.745408828086799</c:v>
                </c:pt>
                <c:pt idx="172">
                  <c:v>27.492341625933587</c:v>
                </c:pt>
                <c:pt idx="173">
                  <c:v>27.238118770991676</c:v>
                </c:pt>
                <c:pt idx="174">
                  <c:v>26.982757103205582</c:v>
                </c:pt>
                <c:pt idx="175">
                  <c:v>26.726276272829381</c:v>
                </c:pt>
                <c:pt idx="176">
                  <c:v>26.468698775377053</c:v>
                </c:pt>
                <c:pt idx="177">
                  <c:v>26.210049973835471</c:v>
                </c:pt>
                <c:pt idx="178">
                  <c:v>25.950358107463675</c:v>
                </c:pt>
                <c:pt idx="179">
                  <c:v>25.689654286591448</c:v>
                </c:pt>
                <c:pt idx="180">
                  <c:v>25.427972472928868</c:v>
                </c:pt>
                <c:pt idx="181">
                  <c:v>25.16534944501046</c:v>
                </c:pt>
                <c:pt idx="182">
                  <c:v>24.901824748510215</c:v>
                </c:pt>
                <c:pt idx="183">
                  <c:v>24.637440631290008</c:v>
                </c:pt>
                <c:pt idx="184">
                  <c:v>24.372241963173327</c:v>
                </c:pt>
                <c:pt idx="185">
                  <c:v>24.106276140563821</c:v>
                </c:pt>
                <c:pt idx="186">
                  <c:v>23.839592976169644</c:v>
                </c:pt>
                <c:pt idx="187">
                  <c:v>23.572244574222978</c:v>
                </c:pt>
                <c:pt idx="188">
                  <c:v>23.304285191721075</c:v>
                </c:pt>
                <c:pt idx="189">
                  <c:v>23.035771086345949</c:v>
                </c:pt>
                <c:pt idx="190">
                  <c:v>22.766760351843441</c:v>
                </c:pt>
                <c:pt idx="191">
                  <c:v>22.497312741765271</c:v>
                </c:pt>
                <c:pt idx="192">
                  <c:v>22.227489482587742</c:v>
                </c:pt>
                <c:pt idx="193">
                  <c:v>21.957353077325426</c:v>
                </c:pt>
                <c:pt idx="194">
                  <c:v>21.686967100850598</c:v>
                </c:pt>
                <c:pt idx="195">
                  <c:v>21.416395988210137</c:v>
                </c:pt>
                <c:pt idx="196">
                  <c:v>21.14570481730189</c:v>
                </c:pt>
                <c:pt idx="197">
                  <c:v>20.874959087328087</c:v>
                </c:pt>
                <c:pt idx="198">
                  <c:v>20.604224494484225</c:v>
                </c:pt>
                <c:pt idx="199">
                  <c:v>20.333566706370817</c:v>
                </c:pt>
                <c:pt idx="200">
                  <c:v>20.063051136627976</c:v>
                </c:pt>
                <c:pt idx="201">
                  <c:v>19.792742721288541</c:v>
                </c:pt>
                <c:pt idx="202">
                  <c:v>19.522705698333166</c:v>
                </c:pt>
                <c:pt idx="203">
                  <c:v>19.253003391892673</c:v>
                </c:pt>
                <c:pt idx="204">
                  <c:v>18.983698002503726</c:v>
                </c:pt>
                <c:pt idx="205">
                  <c:v>18.714850404758732</c:v>
                </c:pt>
                <c:pt idx="206">
                  <c:v>18.446519953621781</c:v>
                </c:pt>
                <c:pt idx="207">
                  <c:v>18.178764300594828</c:v>
                </c:pt>
                <c:pt idx="208">
                  <c:v>17.911639220825229</c:v>
                </c:pt>
                <c:pt idx="209">
                  <c:v>17.645198452137013</c:v>
                </c:pt>
                <c:pt idx="210">
                  <c:v>17.379493546854508</c:v>
                </c:pt>
                <c:pt idx="211">
                  <c:v>17.114573737167781</c:v>
                </c:pt>
                <c:pt idx="212">
                  <c:v>16.850485814656238</c:v>
                </c:pt>
                <c:pt idx="213">
                  <c:v>16.587274024460946</c:v>
                </c:pt>
                <c:pt idx="214">
                  <c:v>16.324979974459012</c:v>
                </c:pt>
                <c:pt idx="215">
                  <c:v>16.06364255965816</c:v>
                </c:pt>
                <c:pt idx="216">
                  <c:v>15.803297901898661</c:v>
                </c:pt>
                <c:pt idx="217">
                  <c:v>15.543979304813947</c:v>
                </c:pt>
                <c:pt idx="218">
                  <c:v>15.285717223878777</c:v>
                </c:pt>
                <c:pt idx="219">
                  <c:v>15.028539251248043</c:v>
                </c:pt>
                <c:pt idx="220">
                  <c:v>14.772470114977697</c:v>
                </c:pt>
                <c:pt idx="221">
                  <c:v>14.517531692110619</c:v>
                </c:pt>
                <c:pt idx="222">
                  <c:v>14.26374303501543</c:v>
                </c:pt>
                <c:pt idx="223">
                  <c:v>14.011120410277725</c:v>
                </c:pt>
                <c:pt idx="224">
                  <c:v>13.759677349368529</c:v>
                </c:pt>
                <c:pt idx="225">
                  <c:v>13.509424710250924</c:v>
                </c:pt>
                <c:pt idx="226">
                  <c:v>13.260370749032548</c:v>
                </c:pt>
                <c:pt idx="227">
                  <c:v>13.012521200732333</c:v>
                </c:pt>
                <c:pt idx="228">
                  <c:v>12.765879368202086</c:v>
                </c:pt>
                <c:pt idx="229">
                  <c:v>12.520446218224546</c:v>
                </c:pt>
                <c:pt idx="230">
                  <c:v>12.276220483807949</c:v>
                </c:pt>
                <c:pt idx="231">
                  <c:v>12.033198771698238</c:v>
                </c:pt>
                <c:pt idx="232">
                  <c:v>11.791375674149823</c:v>
                </c:pt>
                <c:pt idx="233">
                  <c:v>11.550743884016107</c:v>
                </c:pt>
                <c:pt idx="234">
                  <c:v>11.311294312255519</c:v>
                </c:pt>
                <c:pt idx="235">
                  <c:v>11.073016206989852</c:v>
                </c:pt>
                <c:pt idx="236">
                  <c:v>10.835897273294234</c:v>
                </c:pt>
                <c:pt idx="237">
                  <c:v>10.59992379295187</c:v>
                </c:pt>
                <c:pt idx="238">
                  <c:v>10.365080743461597</c:v>
                </c:pt>
                <c:pt idx="239">
                  <c:v>10.131351915641932</c:v>
                </c:pt>
                <c:pt idx="240">
                  <c:v>9.8987200292393354</c:v>
                </c:pt>
                <c:pt idx="241">
                  <c:v>9.6671668460058306</c:v>
                </c:pt>
                <c:pt idx="242">
                  <c:v>9.4366732797758779</c:v>
                </c:pt>
                <c:pt idx="243">
                  <c:v>9.2072195031312347</c:v>
                </c:pt>
                <c:pt idx="244">
                  <c:v>8.97878505030355</c:v>
                </c:pt>
                <c:pt idx="245">
                  <c:v>8.7513489160212821</c:v>
                </c:pt>
                <c:pt idx="246">
                  <c:v>8.5248896500653011</c:v>
                </c:pt>
                <c:pt idx="247">
                  <c:v>8.2993854473473139</c:v>
                </c:pt>
                <c:pt idx="248">
                  <c:v>8.0748142333770172</c:v>
                </c:pt>
                <c:pt idx="249">
                  <c:v>7.8511537450303859</c:v>
                </c:pt>
                <c:pt idx="250">
                  <c:v>7.6283816065711179</c:v>
                </c:pt>
                <c:pt idx="251">
                  <c:v>7.4064754009207148</c:v>
                </c:pt>
                <c:pt idx="252">
                  <c:v>7.1854127362039311</c:v>
                </c:pt>
                <c:pt idx="253">
                  <c:v>6.9651713076288155</c:v>
                </c:pt>
                <c:pt idx="254">
                  <c:v>6.7457289547898558</c:v>
                </c:pt>
                <c:pt idx="255">
                  <c:v>6.5270637145043402</c:v>
                </c:pt>
                <c:pt idx="256">
                  <c:v>6.3091538693145388</c:v>
                </c:pt>
                <c:pt idx="257">
                  <c:v>6.0919779918038417</c:v>
                </c:pt>
                <c:pt idx="258">
                  <c:v>5.8755149848918968</c:v>
                </c:pt>
                <c:pt idx="259">
                  <c:v>5.6597441182816794</c:v>
                </c:pt>
                <c:pt idx="260">
                  <c:v>5.444645061243456</c:v>
                </c:pt>
                <c:pt idx="261">
                  <c:v>5.2301979119240807</c:v>
                </c:pt>
                <c:pt idx="262">
                  <c:v>5.0163832233762706</c:v>
                </c:pt>
                <c:pt idx="263">
                  <c:v>4.8031820265023848</c:v>
                </c:pt>
                <c:pt idx="264">
                  <c:v>4.5905758501095484</c:v>
                </c:pt>
                <c:pt idx="265">
                  <c:v>4.378546738269927</c:v>
                </c:pt>
                <c:pt idx="266">
                  <c:v>4.1670772651783814</c:v>
                </c:pt>
                <c:pt idx="267">
                  <c:v>3.9561505476948762</c:v>
                </c:pt>
                <c:pt idx="268">
                  <c:v>3.7457502557552944</c:v>
                </c:pt>
                <c:pt idx="269">
                  <c:v>3.5358606208272865</c:v>
                </c:pt>
                <c:pt idx="270">
                  <c:v>3.3264664425822716</c:v>
                </c:pt>
                <c:pt idx="271">
                  <c:v>3.1175530939476452</c:v>
                </c:pt>
                <c:pt idx="272">
                  <c:v>2.9091065246960222</c:v>
                </c:pt>
                <c:pt idx="273">
                  <c:v>2.7011132637189155</c:v>
                </c:pt>
                <c:pt idx="274">
                  <c:v>2.493560420128079</c:v>
                </c:pt>
                <c:pt idx="275">
                  <c:v>2.286435683315942</c:v>
                </c:pt>
                <c:pt idx="276">
                  <c:v>2.0797273220995449</c:v>
                </c:pt>
                <c:pt idx="277">
                  <c:v>1.8734241830671803</c:v>
                </c:pt>
                <c:pt idx="278">
                  <c:v>1.6675156882337143</c:v>
                </c:pt>
                <c:pt idx="279">
                  <c:v>1.461991832107514</c:v>
                </c:pt>
                <c:pt idx="280">
                  <c:v>1.256843178261575</c:v>
                </c:pt>
                <c:pt idx="281">
                  <c:v>1.0520608554934179</c:v>
                </c:pt>
                <c:pt idx="282">
                  <c:v>0.84763655365472412</c:v>
                </c:pt>
                <c:pt idx="283">
                  <c:v>0.64356251921768948</c:v>
                </c:pt>
                <c:pt idx="284">
                  <c:v>0.43983155064717216</c:v>
                </c:pt>
                <c:pt idx="285">
                  <c:v>0.23643699363049625</c:v>
                </c:pt>
                <c:pt idx="286">
                  <c:v>3.337273621983318E-2</c:v>
                </c:pt>
                <c:pt idx="287">
                  <c:v>-0.16936679606890476</c:v>
                </c:pt>
                <c:pt idx="288">
                  <c:v>-0.37178664516505477</c:v>
                </c:pt>
                <c:pt idx="289">
                  <c:v>-0.57389132532421194</c:v>
                </c:pt>
                <c:pt idx="290">
                  <c:v>-0.77568482795600335</c:v>
                </c:pt>
                <c:pt idx="291">
                  <c:v>-0.9771706263780251</c:v>
                </c:pt>
                <c:pt idx="292">
                  <c:v>-1.1783516804776597</c:v>
                </c:pt>
                <c:pt idx="293">
                  <c:v>-1.37923044127445</c:v>
                </c:pt>
                <c:pt idx="294">
                  <c:v>-1.579808855373164</c:v>
                </c:pt>
                <c:pt idx="295">
                  <c:v>-1.7800883693105465</c:v>
                </c:pt>
                <c:pt idx="296">
                  <c:v>-1.9800699337976388</c:v>
                </c:pt>
                <c:pt idx="297">
                  <c:v>-2.1797540078657822</c:v>
                </c:pt>
                <c:pt idx="298">
                  <c:v>-2.3791405629318065</c:v>
                </c:pt>
                <c:pt idx="299">
                  <c:v>-2.5782290867972542</c:v>
                </c:pt>
                <c:pt idx="300">
                  <c:v>-2.7770185876055558</c:v>
                </c:pt>
                <c:pt idx="301">
                  <c:v>-2.975507597782709</c:v>
                </c:pt>
                <c:pt idx="302">
                  <c:v>-3.1736941779918109</c:v>
                </c:pt>
                <c:pt idx="303">
                  <c:v>-3.3715759211365892</c:v>
                </c:pt>
                <c:pt idx="304">
                  <c:v>-3.5691499564515401</c:v>
                </c:pt>
                <c:pt idx="305">
                  <c:v>-3.7664129537219933</c:v>
                </c:pt>
                <c:pt idx="306">
                  <c:v>-3.9633611276803804</c:v>
                </c:pt>
                <c:pt idx="307">
                  <c:v>-4.159990242627142</c:v>
                </c:pt>
                <c:pt idx="308">
                  <c:v>-4.3562956173329042</c:v>
                </c:pt>
                <c:pt idx="309">
                  <c:v>-4.5522721302742406</c:v>
                </c:pt>
                <c:pt idx="310">
                  <c:v>-4.7479142252673716</c:v>
                </c:pt>
                <c:pt idx="311">
                  <c:v>-4.9432159175593906</c:v>
                </c:pt>
                <c:pt idx="312">
                  <c:v>-5.1381708004438327</c:v>
                </c:pt>
                <c:pt idx="313">
                  <c:v>-5.3327720524683269</c:v>
                </c:pt>
                <c:pt idx="314">
                  <c:v>-5.5270124453038676</c:v>
                </c:pt>
                <c:pt idx="315">
                  <c:v>-5.7208843523467117</c:v>
                </c:pt>
                <c:pt idx="316">
                  <c:v>-5.9143797581255351</c:v>
                </c:pt>
                <c:pt idx="317">
                  <c:v>-6.1074902685883163</c:v>
                </c:pt>
                <c:pt idx="318">
                  <c:v>-6.3002071223384162</c:v>
                </c:pt>
                <c:pt idx="319">
                  <c:v>-6.4925212028979873</c:v>
                </c:pt>
                <c:pt idx="320">
                  <c:v>-6.6844230520649131</c:v>
                </c:pt>
                <c:pt idx="321">
                  <c:v>-6.8759028844369849</c:v>
                </c:pt>
                <c:pt idx="322">
                  <c:v>-7.0669506031684213</c:v>
                </c:pt>
                <c:pt idx="323">
                  <c:v>-7.2575558170231567</c:v>
                </c:pt>
                <c:pt idx="324">
                  <c:v>-7.447707858785285</c:v>
                </c:pt>
                <c:pt idx="325">
                  <c:v>-7.6373958050805593</c:v>
                </c:pt>
                <c:pt idx="326">
                  <c:v>-7.8266084976580341</c:v>
                </c:pt>
                <c:pt idx="327">
                  <c:v>-8.0153345661758699</c:v>
                </c:pt>
                <c:pt idx="328">
                  <c:v>-8.2035624525240465</c:v>
                </c:pt>
                <c:pt idx="329">
                  <c:v>-8.3912804367126022</c:v>
                </c:pt>
                <c:pt idx="330">
                  <c:v>-8.5784766643429258</c:v>
                </c:pt>
                <c:pt idx="331">
                  <c:v>-8.7651391756706047</c:v>
                </c:pt>
                <c:pt idx="332">
                  <c:v>-8.9512559362576862</c:v>
                </c:pt>
                <c:pt idx="333">
                  <c:v>-9.1368148692030076</c:v>
                </c:pt>
                <c:pt idx="334">
                  <c:v>-9.3218038889274517</c:v>
                </c:pt>
                <c:pt idx="335">
                  <c:v>-9.5062109364794942</c:v>
                </c:pt>
                <c:pt idx="336">
                  <c:v>-9.6900240163159452</c:v>
                </c:pt>
                <c:pt idx="337">
                  <c:v>-9.873231234503093</c:v>
                </c:pt>
                <c:pt idx="338">
                  <c:v>-10.05582083827025</c:v>
                </c:pt>
                <c:pt idx="339">
                  <c:v>-10.23778125683984</c:v>
                </c:pt>
                <c:pt idx="340">
                  <c:v>-10.41910114344855</c:v>
                </c:pt>
                <c:pt idx="341">
                  <c:v>-10.599769418464781</c:v>
                </c:pt>
                <c:pt idx="342">
                  <c:v>-10.779775313501315</c:v>
                </c:pt>
                <c:pt idx="343">
                  <c:v>-10.959108416415432</c:v>
                </c:pt>
                <c:pt idx="344">
                  <c:v>-11.137758717084171</c:v>
                </c:pt>
                <c:pt idx="345">
                  <c:v>-11.315716653838919</c:v>
                </c:pt>
                <c:pt idx="346">
                  <c:v>-11.492973160441348</c:v>
                </c:pt>
                <c:pt idx="347">
                  <c:v>-11.669519713481137</c:v>
                </c:pt>
                <c:pt idx="348">
                  <c:v>-11.845348380078534</c:v>
                </c:pt>
                <c:pt idx="349">
                  <c:v>-12.020451865774302</c:v>
                </c:pt>
                <c:pt idx="350">
                  <c:v>-12.194823562492385</c:v>
                </c:pt>
                <c:pt idx="351">
                  <c:v>-12.368457596464385</c:v>
                </c:pt>
                <c:pt idx="352">
                  <c:v>-12.54134887600685</c:v>
                </c:pt>
                <c:pt idx="353">
                  <c:v>-12.713493139046513</c:v>
                </c:pt>
                <c:pt idx="354">
                  <c:v>-12.884887000289339</c:v>
                </c:pt>
                <c:pt idx="355">
                  <c:v>-13.055527997931893</c:v>
                </c:pt>
                <c:pt idx="356">
                  <c:v>-13.225414639810875</c:v>
                </c:pt>
                <c:pt idx="357">
                  <c:v>-13.394546448886375</c:v>
                </c:pt>
                <c:pt idx="358">
                  <c:v>-13.56292400794684</c:v>
                </c:pt>
                <c:pt idx="359">
                  <c:v>-13.730549003416311</c:v>
                </c:pt>
                <c:pt idx="360">
                  <c:v>-13.897424268133658</c:v>
                </c:pt>
                <c:pt idx="361">
                  <c:v>-14.063553822956754</c:v>
                </c:pt>
                <c:pt idx="362">
                  <c:v>-14.228942917026776</c:v>
                </c:pt>
                <c:pt idx="363">
                  <c:v>-14.393598066506307</c:v>
                </c:pt>
                <c:pt idx="364">
                  <c:v>-14.557527091577033</c:v>
                </c:pt>
                <c:pt idx="365">
                  <c:v>-14.72073915145727</c:v>
                </c:pt>
                <c:pt idx="366">
                  <c:v>-14.883244777166</c:v>
                </c:pt>
                <c:pt idx="367">
                  <c:v>-15.04505590173013</c:v>
                </c:pt>
                <c:pt idx="368">
                  <c:v>-15.206185887497085</c:v>
                </c:pt>
                <c:pt idx="369">
                  <c:v>-15.366649550182068</c:v>
                </c:pt>
                <c:pt idx="370">
                  <c:v>-15.526463179250312</c:v>
                </c:pt>
                <c:pt idx="371">
                  <c:v>-15.685644554204874</c:v>
                </c:pt>
                <c:pt idx="372">
                  <c:v>-15.844212956326274</c:v>
                </c:pt>
                <c:pt idx="373">
                  <c:v>-16.002189175395728</c:v>
                </c:pt>
                <c:pt idx="374">
                  <c:v>-16.159595510917896</c:v>
                </c:pt>
                <c:pt idx="375">
                  <c:v>-16.316455767359866</c:v>
                </c:pt>
                <c:pt idx="376">
                  <c:v>-16.472795242930271</c:v>
                </c:pt>
                <c:pt idx="377">
                  <c:v>-16.628640711435288</c:v>
                </c:pt>
                <c:pt idx="378">
                  <c:v>-16.784020396782612</c:v>
                </c:pt>
                <c:pt idx="379">
                  <c:v>-16.938963939738777</c:v>
                </c:pt>
                <c:pt idx="380">
                  <c:v>-17.093502356602073</c:v>
                </c:pt>
                <c:pt idx="381">
                  <c:v>-17.247667989511598</c:v>
                </c:pt>
                <c:pt idx="382">
                  <c:v>-17.401494448192391</c:v>
                </c:pt>
                <c:pt idx="383">
                  <c:v>-17.555016543016933</c:v>
                </c:pt>
                <c:pt idx="384">
                  <c:v>-17.708270209362936</c:v>
                </c:pt>
                <c:pt idx="385">
                  <c:v>-17.861292423341656</c:v>
                </c:pt>
                <c:pt idx="386">
                  <c:v>-18.014121109087803</c:v>
                </c:pt>
                <c:pt idx="387">
                  <c:v>-18.166795037906745</c:v>
                </c:pt>
                <c:pt idx="388">
                  <c:v>-18.319353719691222</c:v>
                </c:pt>
                <c:pt idx="389">
                  <c:v>-18.471837287136402</c:v>
                </c:pt>
                <c:pt idx="390">
                  <c:v>-18.624286373386049</c:v>
                </c:pt>
                <c:pt idx="391">
                  <c:v>-18.776741983854279</c:v>
                </c:pt>
                <c:pt idx="392">
                  <c:v>-18.929245363061465</c:v>
                </c:pt>
                <c:pt idx="393">
                  <c:v>-19.081837857413454</c:v>
                </c:pt>
                <c:pt idx="394">
                  <c:v>-19.234560774927829</c:v>
                </c:pt>
                <c:pt idx="395">
                  <c:v>-19.387455242974973</c:v>
                </c:pt>
                <c:pt idx="396">
                  <c:v>-19.540562065150318</c:v>
                </c:pt>
                <c:pt idx="397">
                  <c:v>-19.693921578423733</c:v>
                </c:pt>
                <c:pt idx="398">
                  <c:v>-19.847573511729465</c:v>
                </c:pt>
                <c:pt idx="399">
                  <c:v>-20.00155684715665</c:v>
                </c:pt>
                <c:pt idx="400">
                  <c:v>-20.155909684878811</c:v>
                </c:pt>
                <c:pt idx="401">
                  <c:v>-20.310669112928185</c:v>
                </c:pt>
                <c:pt idx="402">
                  <c:v>-20.465871082863405</c:v>
                </c:pt>
                <c:pt idx="403">
                  <c:v>-20.621550292313749</c:v>
                </c:pt>
                <c:pt idx="404">
                  <c:v>-20.7777400753004</c:v>
                </c:pt>
                <c:pt idx="405">
                  <c:v>-20.934472301141472</c:v>
                </c:pt>
                <c:pt idx="406">
                  <c:v>-21.091777282644905</c:v>
                </c:pt>
                <c:pt idx="407">
                  <c:v>-21.249683694178458</c:v>
                </c:pt>
                <c:pt idx="408">
                  <c:v>-21.408218500092016</c:v>
                </c:pt>
                <c:pt idx="409">
                  <c:v>-21.567406893843675</c:v>
                </c:pt>
                <c:pt idx="410">
                  <c:v>-21.727272248058615</c:v>
                </c:pt>
                <c:pt idx="411">
                  <c:v>-21.887836075628464</c:v>
                </c:pt>
                <c:pt idx="412">
                  <c:v>-22.049118001839226</c:v>
                </c:pt>
                <c:pt idx="413">
                  <c:v>-22.211135747401052</c:v>
                </c:pt>
                <c:pt idx="414">
                  <c:v>-22.373905122146347</c:v>
                </c:pt>
                <c:pt idx="415">
                  <c:v>-22.537440029060267</c:v>
                </c:pt>
                <c:pt idx="416">
                  <c:v>-22.701752478220001</c:v>
                </c:pt>
                <c:pt idx="417">
                  <c:v>-22.86685261013438</c:v>
                </c:pt>
                <c:pt idx="418">
                  <c:v>-23.032748727909684</c:v>
                </c:pt>
                <c:pt idx="419">
                  <c:v>-23.199447337605747</c:v>
                </c:pt>
                <c:pt idx="420">
                  <c:v>-23.366953196099587</c:v>
                </c:pt>
                <c:pt idx="421">
                  <c:v>-23.53526936574195</c:v>
                </c:pt>
                <c:pt idx="422">
                  <c:v>-23.704397275061325</c:v>
                </c:pt>
                <c:pt idx="423">
                  <c:v>-23.874336784763642</c:v>
                </c:pt>
                <c:pt idx="424">
                  <c:v>-24.045086258268078</c:v>
                </c:pt>
                <c:pt idx="425">
                  <c:v>-24.216642636026663</c:v>
                </c:pt>
                <c:pt idx="426">
                  <c:v>-24.389001512892218</c:v>
                </c:pt>
                <c:pt idx="427">
                  <c:v>-24.56215721781847</c:v>
                </c:pt>
                <c:pt idx="428">
                  <c:v>-24.736102895209662</c:v>
                </c:pt>
                <c:pt idx="429">
                  <c:v>-24.910830587268151</c:v>
                </c:pt>
                <c:pt idx="430">
                  <c:v>-25.086331316730185</c:v>
                </c:pt>
                <c:pt idx="431">
                  <c:v>-25.262595169424969</c:v>
                </c:pt>
                <c:pt idx="432">
                  <c:v>-25.439611376133424</c:v>
                </c:pt>
                <c:pt idx="433">
                  <c:v>-25.617368393276301</c:v>
                </c:pt>
                <c:pt idx="434">
                  <c:v>-25.795853982007255</c:v>
                </c:pt>
                <c:pt idx="435">
                  <c:v>-25.975055285335799</c:v>
                </c:pt>
                <c:pt idx="436">
                  <c:v>-26.154958902953179</c:v>
                </c:pt>
                <c:pt idx="437">
                  <c:v>-26.335550963484561</c:v>
                </c:pt>
                <c:pt idx="438">
                  <c:v>-26.516817193931573</c:v>
                </c:pt>
                <c:pt idx="439">
                  <c:v>-26.698742986118358</c:v>
                </c:pt>
                <c:pt idx="440">
                  <c:v>-26.881313459991848</c:v>
                </c:pt>
                <c:pt idx="441">
                  <c:v>-27.064513523667664</c:v>
                </c:pt>
                <c:pt idx="442">
                  <c:v>-27.248327930148598</c:v>
                </c:pt>
                <c:pt idx="443">
                  <c:v>-27.432741330674503</c:v>
                </c:pt>
                <c:pt idx="444">
                  <c:v>-27.617738324694212</c:v>
                </c:pt>
                <c:pt idx="445">
                  <c:v>-27.803303506474904</c:v>
                </c:pt>
                <c:pt idx="446">
                  <c:v>-27.989421508390357</c:v>
                </c:pt>
                <c:pt idx="447">
                  <c:v>-28.176077040947586</c:v>
                </c:pt>
                <c:pt idx="448">
                  <c:v>-28.36325492963255</c:v>
                </c:pt>
                <c:pt idx="449">
                  <c:v>-28.550940148669</c:v>
                </c:pt>
                <c:pt idx="450">
                  <c:v>-28.739117851797701</c:v>
                </c:pt>
                <c:pt idx="451">
                  <c:v>-28.92777340019386</c:v>
                </c:pt>
                <c:pt idx="452">
                  <c:v>-29.116892387649603</c:v>
                </c:pt>
                <c:pt idx="453">
                  <c:v>-29.306460663153505</c:v>
                </c:pt>
                <c:pt idx="454">
                  <c:v>-29.496464351003638</c:v>
                </c:pt>
                <c:pt idx="455">
                  <c:v>-29.686889868594907</c:v>
                </c:pt>
                <c:pt idx="456">
                  <c:v>-29.877723942020531</c:v>
                </c:pt>
                <c:pt idx="457">
                  <c:v>-30.068953619629688</c:v>
                </c:pt>
                <c:pt idx="458">
                  <c:v>-30.260566283681204</c:v>
                </c:pt>
                <c:pt idx="459">
                  <c:v>-30.452549660230353</c:v>
                </c:pt>
                <c:pt idx="460">
                  <c:v>-30.644891827385898</c:v>
                </c:pt>
                <c:pt idx="461">
                  <c:v>-30.837581222066266</c:v>
                </c:pt>
                <c:pt idx="462">
                  <c:v>-31.030606645385227</c:v>
                </c:pt>
                <c:pt idx="463">
                  <c:v>-31.223957266788371</c:v>
                </c:pt>
                <c:pt idx="464">
                  <c:v>-31.417622627058499</c:v>
                </c:pt>
                <c:pt idx="465">
                  <c:v>-31.611592640304092</c:v>
                </c:pt>
                <c:pt idx="466">
                  <c:v>-31.805857595036731</c:v>
                </c:pt>
                <c:pt idx="467">
                  <c:v>-32.000408154442482</c:v>
                </c:pt>
                <c:pt idx="468">
                  <c:v>-32.195235355941044</c:v>
                </c:pt>
                <c:pt idx="469">
                  <c:v>-32.390330610126142</c:v>
                </c:pt>
                <c:pt idx="470">
                  <c:v>-32.58568569917319</c:v>
                </c:pt>
                <c:pt idx="471">
                  <c:v>-32.781292774793862</c:v>
                </c:pt>
                <c:pt idx="472">
                  <c:v>-32.977144355815163</c:v>
                </c:pt>
                <c:pt idx="473">
                  <c:v>-33.173233325451989</c:v>
                </c:pt>
                <c:pt idx="474">
                  <c:v>-33.369552928341278</c:v>
                </c:pt>
                <c:pt idx="475">
                  <c:v>-33.566096767396381</c:v>
                </c:pt>
                <c:pt idx="476">
                  <c:v>-33.762858800543249</c:v>
                </c:pt>
                <c:pt idx="477">
                  <c:v>-33.959833337386407</c:v>
                </c:pt>
                <c:pt idx="478">
                  <c:v>-34.157015035858024</c:v>
                </c:pt>
                <c:pt idx="479">
                  <c:v>-34.354398898893088</c:v>
                </c:pt>
                <c:pt idx="480">
                  <c:v>-34.551980271174209</c:v>
                </c:pt>
                <c:pt idx="481">
                  <c:v>-34.749754835982934</c:v>
                </c:pt>
                <c:pt idx="482">
                  <c:v>-34.947718612196248</c:v>
                </c:pt>
                <c:pt idx="483">
                  <c:v>-35.145867951458143</c:v>
                </c:pt>
                <c:pt idx="484">
                  <c:v>-35.344199535558069</c:v>
                </c:pt>
                <c:pt idx="485">
                  <c:v>-35.542710374044859</c:v>
                </c:pt>
                <c:pt idx="486">
                  <c:v>-35.74139780210033</c:v>
                </c:pt>
                <c:pt idx="487">
                  <c:v>-35.94025947869693</c:v>
                </c:pt>
                <c:pt idx="488">
                  <c:v>-36.139293385060967</c:v>
                </c:pt>
                <c:pt idx="489">
                  <c:v>-36.338497823462752</c:v>
                </c:pt>
                <c:pt idx="490">
                  <c:v>-36.537871416348651</c:v>
                </c:pt>
                <c:pt idx="491">
                  <c:v>-36.737413105836694</c:v>
                </c:pt>
                <c:pt idx="492">
                  <c:v>-36.93712215358741</c:v>
                </c:pt>
                <c:pt idx="493">
                  <c:v>-37.136998141066393</c:v>
                </c:pt>
                <c:pt idx="494">
                  <c:v>-37.337040970211149</c:v>
                </c:pt>
                <c:pt idx="495">
                  <c:v>-37.53725086451535</c:v>
                </c:pt>
                <c:pt idx="496">
                  <c:v>-37.737628370539689</c:v>
                </c:pt>
                <c:pt idx="497">
                  <c:v>-37.938174359863467</c:v>
                </c:pt>
                <c:pt idx="498">
                  <c:v>-38.138890031482063</c:v>
                </c:pt>
                <c:pt idx="499">
                  <c:v>-38.339776914662835</c:v>
                </c:pt>
                <c:pt idx="500">
                  <c:v>-38.540836872265601</c:v>
                </c:pt>
                <c:pt idx="501">
                  <c:v>-38.742072104535168</c:v>
                </c:pt>
                <c:pt idx="502">
                  <c:v>-38.94348515337385</c:v>
                </c:pt>
                <c:pt idx="503">
                  <c:v>-39.145078907097925</c:v>
                </c:pt>
                <c:pt idx="504">
                  <c:v>-39.34685660568497</c:v>
                </c:pt>
                <c:pt idx="505">
                  <c:v>-39.548821846515963</c:v>
                </c:pt>
                <c:pt idx="506">
                  <c:v>-39.750978590615162</c:v>
                </c:pt>
                <c:pt idx="507">
                  <c:v>-39.953331169392058</c:v>
                </c:pt>
                <c:pt idx="508">
                  <c:v>-40.15588429188643</c:v>
                </c:pt>
                <c:pt idx="509">
                  <c:v>-40.358643052517856</c:v>
                </c:pt>
                <c:pt idx="510">
                  <c:v>-40.56161293933976</c:v>
                </c:pt>
                <c:pt idx="511">
                  <c:v>-40.764799842796684</c:v>
                </c:pt>
                <c:pt idx="512">
                  <c:v>-40.96821006498346</c:v>
                </c:pt>
                <c:pt idx="513">
                  <c:v>-41.171850329401316</c:v>
                </c:pt>
                <c:pt idx="514">
                  <c:v>-41.375727791207069</c:v>
                </c:pt>
                <c:pt idx="515">
                  <c:v>-41.579850047947566</c:v>
                </c:pt>
                <c:pt idx="516">
                  <c:v>-41.78422515077208</c:v>
                </c:pt>
                <c:pt idx="517">
                  <c:v>-41.988861616110775</c:v>
                </c:pt>
                <c:pt idx="518">
                  <c:v>-42.193768437808558</c:v>
                </c:pt>
                <c:pt idx="519">
                  <c:v>-42.398955099697027</c:v>
                </c:pt>
                <c:pt idx="520">
                  <c:v>-42.604431588588831</c:v>
                </c:pt>
                <c:pt idx="521">
                  <c:v>-42.810208407673159</c:v>
                </c:pt>
                <c:pt idx="522">
                  <c:v>-43.016296590289159</c:v>
                </c:pt>
                <c:pt idx="523">
                  <c:v>-43.222707714050053</c:v>
                </c:pt>
                <c:pt idx="524">
                  <c:v>-43.42945391528815</c:v>
                </c:pt>
                <c:pt idx="525">
                  <c:v>-43.636547903786848</c:v>
                </c:pt>
                <c:pt idx="526">
                  <c:v>-43.844002977758691</c:v>
                </c:pt>
                <c:pt idx="527">
                  <c:v>-44.05183303902966</c:v>
                </c:pt>
                <c:pt idx="528">
                  <c:v>-44.260052608379581</c:v>
                </c:pt>
                <c:pt idx="529">
                  <c:v>-44.468676840985964</c:v>
                </c:pt>
                <c:pt idx="530">
                  <c:v>-44.677721541912845</c:v>
                </c:pt>
                <c:pt idx="531">
                  <c:v>-44.887203181580702</c:v>
                </c:pt>
                <c:pt idx="532">
                  <c:v>-45.097138911144626</c:v>
                </c:pt>
                <c:pt idx="533">
                  <c:v>-45.307546577706063</c:v>
                </c:pt>
                <c:pt idx="534">
                  <c:v>-45.51844473927239</c:v>
                </c:pt>
                <c:pt idx="535">
                  <c:v>-45.729852679373259</c:v>
                </c:pt>
                <c:pt idx="536">
                  <c:v>-45.941790421234742</c:v>
                </c:pt>
                <c:pt idx="537">
                  <c:v>-46.154278741405818</c:v>
                </c:pt>
                <c:pt idx="538">
                  <c:v>-46.367339182721032</c:v>
                </c:pt>
                <c:pt idx="539">
                  <c:v>-46.580994066478169</c:v>
                </c:pt>
                <c:pt idx="540">
                  <c:v>-46.795266503699239</c:v>
                </c:pt>
                <c:pt idx="541">
                  <c:v>-47.010180405335198</c:v>
                </c:pt>
              </c:numCache>
            </c:numRef>
          </c:yVal>
          <c:smooth val="1"/>
          <c:extLst>
            <c:ext xmlns:c16="http://schemas.microsoft.com/office/drawing/2014/chart" uri="{C3380CC4-5D6E-409C-BE32-E72D297353CC}">
              <c16:uniqueId val="{00000000-7AB1-42AA-8DBD-6D7B5452EF93}"/>
            </c:ext>
          </c:extLst>
        </c:ser>
        <c:dLbls>
          <c:showLegendKey val="0"/>
          <c:showVal val="0"/>
          <c:showCatName val="0"/>
          <c:showSerName val="0"/>
          <c:showPercent val="0"/>
          <c:showBubbleSize val="0"/>
        </c:dLbls>
        <c:axId val="365455232"/>
        <c:axId val="365465600"/>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89.521730717765564</c:v>
                </c:pt>
                <c:pt idx="1">
                  <c:v>89.510593488848329</c:v>
                </c:pt>
                <c:pt idx="2">
                  <c:v>89.499197061758181</c:v>
                </c:pt>
                <c:pt idx="3">
                  <c:v>89.487535414808974</c:v>
                </c:pt>
                <c:pt idx="4">
                  <c:v>89.475602387181809</c:v>
                </c:pt>
                <c:pt idx="5">
                  <c:v>89.463391675764868</c:v>
                </c:pt>
                <c:pt idx="6">
                  <c:v>89.450896831925647</c:v>
                </c:pt>
                <c:pt idx="7">
                  <c:v>89.438111258213894</c:v>
                </c:pt>
                <c:pt idx="8">
                  <c:v>89.425028204994618</c:v>
                </c:pt>
                <c:pt idx="9">
                  <c:v>89.411640767009501</c:v>
                </c:pt>
                <c:pt idx="10">
                  <c:v>89.397941879866039</c:v>
                </c:pt>
                <c:pt idx="11">
                  <c:v>89.38392431645299</c:v>
                </c:pt>
                <c:pt idx="12">
                  <c:v>89.369580683280773</c:v>
                </c:pt>
                <c:pt idx="13">
                  <c:v>89.35490341674641</c:v>
                </c:pt>
                <c:pt idx="14">
                  <c:v>89.339884779321125</c:v>
                </c:pt>
                <c:pt idx="15">
                  <c:v>89.324516855659837</c:v>
                </c:pt>
                <c:pt idx="16">
                  <c:v>89.308791548631817</c:v>
                </c:pt>
                <c:pt idx="17">
                  <c:v>89.292700575270757</c:v>
                </c:pt>
                <c:pt idx="18">
                  <c:v>89.276235462644053</c:v>
                </c:pt>
                <c:pt idx="19">
                  <c:v>89.259387543639576</c:v>
                </c:pt>
                <c:pt idx="20">
                  <c:v>89.242147952669796</c:v>
                </c:pt>
                <c:pt idx="21">
                  <c:v>89.224507621291664</c:v>
                </c:pt>
                <c:pt idx="22">
                  <c:v>89.206457273742075</c:v>
                </c:pt>
                <c:pt idx="23">
                  <c:v>89.187987422387579</c:v>
                </c:pt>
                <c:pt idx="24">
                  <c:v>89.169088363088306</c:v>
                </c:pt>
                <c:pt idx="25">
                  <c:v>89.149750170474846</c:v>
                </c:pt>
                <c:pt idx="26">
                  <c:v>89.129962693138268</c:v>
                </c:pt>
                <c:pt idx="27">
                  <c:v>89.109715548731984</c:v>
                </c:pt>
                <c:pt idx="28">
                  <c:v>89.088998118986268</c:v>
                </c:pt>
                <c:pt idx="29">
                  <c:v>89.067799544634056</c:v>
                </c:pt>
                <c:pt idx="30">
                  <c:v>89.046108720248924</c:v>
                </c:pt>
                <c:pt idx="31">
                  <c:v>89.023914288994661</c:v>
                </c:pt>
                <c:pt idx="32">
                  <c:v>89.001204637287103</c:v>
                </c:pt>
                <c:pt idx="33">
                  <c:v>88.977967889368145</c:v>
                </c:pt>
                <c:pt idx="34">
                  <c:v>88.95419190179301</c:v>
                </c:pt>
                <c:pt idx="35">
                  <c:v>88.929864257831127</c:v>
                </c:pt>
                <c:pt idx="36">
                  <c:v>88.904972261781779</c:v>
                </c:pt>
                <c:pt idx="37">
                  <c:v>88.879502933205671</c:v>
                </c:pt>
                <c:pt idx="38">
                  <c:v>88.853443001073742</c:v>
                </c:pt>
                <c:pt idx="39">
                  <c:v>88.826778897835425</c:v>
                </c:pt>
                <c:pt idx="40">
                  <c:v>88.799496753407567</c:v>
                </c:pt>
                <c:pt idx="41">
                  <c:v>88.771582389087214</c:v>
                </c:pt>
                <c:pt idx="42">
                  <c:v>88.743021311390024</c:v>
                </c:pt>
                <c:pt idx="43">
                  <c:v>88.713798705818434</c:v>
                </c:pt>
                <c:pt idx="44">
                  <c:v>88.683899430562079</c:v>
                </c:pt>
                <c:pt idx="45">
                  <c:v>88.653308010134722</c:v>
                </c:pt>
                <c:pt idx="46">
                  <c:v>88.622008628952258</c:v>
                </c:pt>
                <c:pt idx="47">
                  <c:v>88.589985124856241</c:v>
                </c:pt>
                <c:pt idx="48">
                  <c:v>88.557220982588774</c:v>
                </c:pt>
                <c:pt idx="49">
                  <c:v>88.52369932722425</c:v>
                </c:pt>
                <c:pt idx="50">
                  <c:v>88.489402917565016</c:v>
                </c:pt>
                <c:pt idx="51">
                  <c:v>88.454314139508</c:v>
                </c:pt>
                <c:pt idx="52">
                  <c:v>88.418414999390436</c:v>
                </c:pt>
                <c:pt idx="53">
                  <c:v>88.381687117323182</c:v>
                </c:pt>
                <c:pt idx="54">
                  <c:v>88.34411172052188</c:v>
                </c:pt>
                <c:pt idx="55">
                  <c:v>88.305669636645959</c:v>
                </c:pt>
                <c:pt idx="56">
                  <c:v>88.266341287156934</c:v>
                </c:pt>
                <c:pt idx="57">
                  <c:v>88.226106680708995</c:v>
                </c:pt>
                <c:pt idx="58">
                  <c:v>88.184945406585172</c:v>
                </c:pt>
                <c:pt idx="59">
                  <c:v>88.142836628193848</c:v>
                </c:pt>
                <c:pt idx="60">
                  <c:v>88.09975907664186</c:v>
                </c:pt>
                <c:pt idx="61">
                  <c:v>88.055691044401769</c:v>
                </c:pt>
                <c:pt idx="62">
                  <c:v>88.010610379091517</c:v>
                </c:pt>
                <c:pt idx="63">
                  <c:v>87.964494477387774</c:v>
                </c:pt>
                <c:pt idx="64">
                  <c:v>87.917320279094298</c:v>
                </c:pt>
                <c:pt idx="65">
                  <c:v>87.869064261389667</c:v>
                </c:pt>
                <c:pt idx="66">
                  <c:v>87.819702433279673</c:v>
                </c:pt>
                <c:pt idx="67">
                  <c:v>87.769210330282334</c:v>
                </c:pt>
                <c:pt idx="68">
                  <c:v>87.717563009375269</c:v>
                </c:pt>
                <c:pt idx="69">
                  <c:v>87.664735044237602</c:v>
                </c:pt>
                <c:pt idx="70">
                  <c:v>87.6107005208206</c:v>
                </c:pt>
                <c:pt idx="71">
                  <c:v>87.555433033284757</c:v>
                </c:pt>
                <c:pt idx="72">
                  <c:v>87.498905680342375</c:v>
                </c:pt>
                <c:pt idx="73">
                  <c:v>87.441091062048883</c:v>
                </c:pt>
                <c:pt idx="74">
                  <c:v>87.381961277088166</c:v>
                </c:pt>
                <c:pt idx="75">
                  <c:v>87.321487920601754</c:v>
                </c:pt>
                <c:pt idx="76">
                  <c:v>87.259642082612956</c:v>
                </c:pt>
                <c:pt idx="77">
                  <c:v>87.19639434710372</c:v>
                </c:pt>
                <c:pt idx="78">
                  <c:v>87.131714791802551</c:v>
                </c:pt>
                <c:pt idx="79">
                  <c:v>87.065572988748983</c:v>
                </c:pt>
                <c:pt idx="80">
                  <c:v>86.9979380057014</c:v>
                </c:pt>
                <c:pt idx="81">
                  <c:v>86.928778408462961</c:v>
                </c:pt>
                <c:pt idx="82">
                  <c:v>86.858062264201251</c:v>
                </c:pt>
                <c:pt idx="83">
                  <c:v>86.785757145845736</c:v>
                </c:pt>
                <c:pt idx="84">
                  <c:v>86.71183013765102</c:v>
                </c:pt>
                <c:pt idx="85">
                  <c:v>86.636247842017795</c:v>
                </c:pt>
                <c:pt idx="86">
                  <c:v>86.558976387672999</c:v>
                </c:pt>
                <c:pt idx="87">
                  <c:v>86.479981439312667</c:v>
                </c:pt>
                <c:pt idx="88">
                  <c:v>86.399228208820773</c:v>
                </c:pt>
                <c:pt idx="89">
                  <c:v>86.316681468180789</c:v>
                </c:pt>
                <c:pt idx="90">
                  <c:v>86.2323055642063</c:v>
                </c:pt>
                <c:pt idx="91">
                  <c:v>86.14606443522328</c:v>
                </c:pt>
                <c:pt idx="92">
                  <c:v>86.057921629842383</c:v>
                </c:pt>
                <c:pt idx="93">
                  <c:v>85.967840327970052</c:v>
                </c:pt>
                <c:pt idx="94">
                  <c:v>85.875783364213575</c:v>
                </c:pt>
                <c:pt idx="95">
                  <c:v>85.781713253843378</c:v>
                </c:pt>
                <c:pt idx="96">
                  <c:v>85.685592221483176</c:v>
                </c:pt>
                <c:pt idx="97">
                  <c:v>85.587382232711889</c:v>
                </c:pt>
                <c:pt idx="98">
                  <c:v>85.487045028761415</c:v>
                </c:pt>
                <c:pt idx="99">
                  <c:v>85.384542164512865</c:v>
                </c:pt>
                <c:pt idx="100">
                  <c:v>85.279835049993679</c:v>
                </c:pt>
                <c:pt idx="101">
                  <c:v>85.17288499559416</c:v>
                </c:pt>
                <c:pt idx="102">
                  <c:v>85.063653261226904</c:v>
                </c:pt>
                <c:pt idx="103">
                  <c:v>84.952101109660333</c:v>
                </c:pt>
                <c:pt idx="104">
                  <c:v>84.83818986427076</c:v>
                </c:pt>
                <c:pt idx="105">
                  <c:v>84.721880971460678</c:v>
                </c:pt>
                <c:pt idx="106">
                  <c:v>84.603136068001064</c:v>
                </c:pt>
                <c:pt idx="107">
                  <c:v>84.48191705356399</c:v>
                </c:pt>
                <c:pt idx="108">
                  <c:v>84.358186168714894</c:v>
                </c:pt>
                <c:pt idx="109">
                  <c:v>84.231906078645451</c:v>
                </c:pt>
                <c:pt idx="110">
                  <c:v>84.10303996292528</c:v>
                </c:pt>
                <c:pt idx="111">
                  <c:v>83.971551611564351</c:v>
                </c:pt>
                <c:pt idx="112">
                  <c:v>83.837405527670498</c:v>
                </c:pt>
                <c:pt idx="113">
                  <c:v>83.700567036995977</c:v>
                </c:pt>
                <c:pt idx="114">
                  <c:v>83.561002404660897</c:v>
                </c:pt>
                <c:pt idx="115">
                  <c:v>83.418678959341491</c:v>
                </c:pt>
                <c:pt idx="116">
                  <c:v>83.273565225205829</c:v>
                </c:pt>
                <c:pt idx="117">
                  <c:v>83.125631061870806</c:v>
                </c:pt>
                <c:pt idx="118">
                  <c:v>82.97484781264653</c:v>
                </c:pt>
                <c:pt idx="119">
                  <c:v>82.821188461317192</c:v>
                </c:pt>
                <c:pt idx="120">
                  <c:v>82.664627797695047</c:v>
                </c:pt>
                <c:pt idx="121">
                  <c:v>82.505142592157284</c:v>
                </c:pt>
                <c:pt idx="122">
                  <c:v>82.342711779356222</c:v>
                </c:pt>
                <c:pt idx="123">
                  <c:v>82.177316651258394</c:v>
                </c:pt>
                <c:pt idx="124">
                  <c:v>82.008941059634793</c:v>
                </c:pt>
                <c:pt idx="125">
                  <c:v>81.837571628084817</c:v>
                </c:pt>
                <c:pt idx="126">
                  <c:v>81.663197973626183</c:v>
                </c:pt>
                <c:pt idx="127">
                  <c:v>81.485812937833458</c:v>
                </c:pt>
                <c:pt idx="128">
                  <c:v>81.305412827446446</c:v>
                </c:pt>
                <c:pt idx="129">
                  <c:v>81.121997664298178</c:v>
                </c:pt>
                <c:pt idx="130">
                  <c:v>80.935571444346337</c:v>
                </c:pt>
                <c:pt idx="131">
                  <c:v>80.746142405497423</c:v>
                </c:pt>
                <c:pt idx="132">
                  <c:v>80.553723303833053</c:v>
                </c:pt>
                <c:pt idx="133">
                  <c:v>80.358331697737611</c:v>
                </c:pt>
                <c:pt idx="134">
                  <c:v>80.159990239327044</c:v>
                </c:pt>
                <c:pt idx="135">
                  <c:v>79.958726972454571</c:v>
                </c:pt>
                <c:pt idx="136">
                  <c:v>79.754575636448308</c:v>
                </c:pt>
                <c:pt idx="137">
                  <c:v>79.54757597459718</c:v>
                </c:pt>
                <c:pt idx="138">
                  <c:v>79.337774046265494</c:v>
                </c:pt>
                <c:pt idx="139">
                  <c:v>79.125222541358269</c:v>
                </c:pt>
                <c:pt idx="140">
                  <c:v>78.909981095710734</c:v>
                </c:pt>
                <c:pt idx="141">
                  <c:v>78.692116605805495</c:v>
                </c:pt>
                <c:pt idx="142">
                  <c:v>78.471703541059057</c:v>
                </c:pt>
                <c:pt idx="143">
                  <c:v>78.248824251741581</c:v>
                </c:pt>
                <c:pt idx="144">
                  <c:v>78.023569270423167</c:v>
                </c:pt>
                <c:pt idx="145">
                  <c:v>77.796037604665486</c:v>
                </c:pt>
                <c:pt idx="146">
                  <c:v>77.566337018504399</c:v>
                </c:pt>
                <c:pt idx="147">
                  <c:v>77.334584300098257</c:v>
                </c:pt>
                <c:pt idx="148">
                  <c:v>77.100905512758871</c:v>
                </c:pt>
                <c:pt idx="149">
                  <c:v>76.865436226427136</c:v>
                </c:pt>
                <c:pt idx="150">
                  <c:v>76.628321726513221</c:v>
                </c:pt>
                <c:pt idx="151">
                  <c:v>76.389717196902865</c:v>
                </c:pt>
                <c:pt idx="152">
                  <c:v>76.14978787382266</c:v>
                </c:pt>
                <c:pt idx="153">
                  <c:v>75.908709167173498</c:v>
                </c:pt>
                <c:pt idx="154">
                  <c:v>75.666666745895967</c:v>
                </c:pt>
                <c:pt idx="155">
                  <c:v>75.42385658389486</c:v>
                </c:pt>
                <c:pt idx="156">
                  <c:v>75.18048496306902</c:v>
                </c:pt>
                <c:pt idx="157">
                  <c:v>74.936768430036324</c:v>
                </c:pt>
                <c:pt idx="158">
                  <c:v>74.69293370323345</c:v>
                </c:pt>
                <c:pt idx="159">
                  <c:v>74.449217527202194</c:v>
                </c:pt>
                <c:pt idx="160">
                  <c:v>74.205866471052531</c:v>
                </c:pt>
                <c:pt idx="161">
                  <c:v>73.963136668324083</c:v>
                </c:pt>
                <c:pt idx="162">
                  <c:v>73.721293495741293</c:v>
                </c:pt>
                <c:pt idx="163">
                  <c:v>73.480611188691014</c:v>
                </c:pt>
                <c:pt idx="164">
                  <c:v>73.241372391629397</c:v>
                </c:pt>
                <c:pt idx="165">
                  <c:v>73.003867642058552</c:v>
                </c:pt>
                <c:pt idx="166">
                  <c:v>72.768394787188356</c:v>
                </c:pt>
                <c:pt idx="167">
                  <c:v>72.535258332927995</c:v>
                </c:pt>
                <c:pt idx="168">
                  <c:v>72.304768725416864</c:v>
                </c:pt>
                <c:pt idx="169">
                  <c:v>72.077241565906235</c:v>
                </c:pt>
                <c:pt idx="170">
                  <c:v>71.852996760442664</c:v>
                </c:pt>
                <c:pt idx="171">
                  <c:v>71.632357606461028</c:v>
                </c:pt>
                <c:pt idx="172">
                  <c:v>71.415649819071817</c:v>
                </c:pt>
                <c:pt idx="173">
                  <c:v>71.203200500512096</c:v>
                </c:pt>
                <c:pt idx="174">
                  <c:v>70.995337056921016</c:v>
                </c:pt>
                <c:pt idx="175">
                  <c:v>70.792386067263308</c:v>
                </c:pt>
                <c:pt idx="176">
                  <c:v>70.594672109896138</c:v>
                </c:pt>
                <c:pt idx="177">
                  <c:v>70.402516552888727</c:v>
                </c:pt>
                <c:pt idx="178">
                  <c:v>70.216236314793477</c:v>
                </c:pt>
                <c:pt idx="179">
                  <c:v>70.036142603112921</c:v>
                </c:pt>
                <c:pt idx="180">
                  <c:v>69.862539638181843</c:v>
                </c:pt>
                <c:pt idx="181">
                  <c:v>69.695723370590898</c:v>
                </c:pt>
                <c:pt idx="182">
                  <c:v>69.535980200635123</c:v>
                </c:pt>
                <c:pt idx="183">
                  <c:v>69.383585708513067</c:v>
                </c:pt>
                <c:pt idx="184">
                  <c:v>69.238803404184836</c:v>
                </c:pt>
                <c:pt idx="185">
                  <c:v>69.101883505872351</c:v>
                </c:pt>
                <c:pt idx="186">
                  <c:v>68.973061756184407</c:v>
                </c:pt>
                <c:pt idx="187">
                  <c:v>68.852558284729199</c:v>
                </c:pt>
                <c:pt idx="188">
                  <c:v>68.740576525880201</c:v>
                </c:pt>
                <c:pt idx="189">
                  <c:v>68.637302200070948</c:v>
                </c:pt>
                <c:pt idx="190">
                  <c:v>68.542902366588308</c:v>
                </c:pt>
                <c:pt idx="191">
                  <c:v>68.457524555374178</c:v>
                </c:pt>
                <c:pt idx="192">
                  <c:v>68.381295984769736</c:v>
                </c:pt>
                <c:pt idx="193">
                  <c:v>68.314322871507059</c:v>
                </c:pt>
                <c:pt idx="194">
                  <c:v>68.256689838536545</c:v>
                </c:pt>
                <c:pt idx="195">
                  <c:v>68.208459425509417</c:v>
                </c:pt>
                <c:pt idx="196">
                  <c:v>68.169671705903653</c:v>
                </c:pt>
                <c:pt idx="197">
                  <c:v>68.140344013922089</c:v>
                </c:pt>
                <c:pt idx="198">
                  <c:v>68.120470783362919</c:v>
                </c:pt>
                <c:pt idx="199">
                  <c:v>68.110023499756394</c:v>
                </c:pt>
                <c:pt idx="200">
                  <c:v>68.108950766095148</c:v>
                </c:pt>
                <c:pt idx="201">
                  <c:v>68.117178481544897</c:v>
                </c:pt>
                <c:pt idx="202">
                  <c:v>68.134610131582903</c:v>
                </c:pt>
                <c:pt idx="203">
                  <c:v>68.161127187072779</c:v>
                </c:pt>
                <c:pt idx="204">
                  <c:v>68.196589608903835</c:v>
                </c:pt>
                <c:pt idx="205">
                  <c:v>68.240836453945548</c:v>
                </c:pt>
                <c:pt idx="206">
                  <c:v>68.293686577271032</c:v>
                </c:pt>
                <c:pt idx="207">
                  <c:v>68.354939424837127</c:v>
                </c:pt>
                <c:pt idx="208">
                  <c:v>68.42437591012353</c:v>
                </c:pt>
                <c:pt idx="209">
                  <c:v>68.501759367615122</c:v>
                </c:pt>
                <c:pt idx="210">
                  <c:v>68.586836575469107</c:v>
                </c:pt>
                <c:pt idx="211">
                  <c:v>68.679338839265881</c:v>
                </c:pt>
                <c:pt idx="212">
                  <c:v>68.778983128363521</c:v>
                </c:pt>
                <c:pt idx="213">
                  <c:v>68.885473256123632</c:v>
                </c:pt>
                <c:pt idx="214">
                  <c:v>68.998501095081451</c:v>
                </c:pt>
                <c:pt idx="215">
                  <c:v>69.117747818071749</c:v>
                </c:pt>
                <c:pt idx="216">
                  <c:v>69.242885156326707</c:v>
                </c:pt>
                <c:pt idx="217">
                  <c:v>69.373576665666405</c:v>
                </c:pt>
                <c:pt idx="218">
                  <c:v>69.509478992118488</c:v>
                </c:pt>
                <c:pt idx="219">
                  <c:v>69.650243128560945</c:v>
                </c:pt>
                <c:pt idx="220">
                  <c:v>69.79551565437022</c:v>
                </c:pt>
                <c:pt idx="221">
                  <c:v>69.944939950463962</c:v>
                </c:pt>
                <c:pt idx="222">
                  <c:v>70.098157382651607</c:v>
                </c:pt>
                <c:pt idx="223">
                  <c:v>70.254808446735765</c:v>
                </c:pt>
                <c:pt idx="224">
                  <c:v>70.414533869425284</c:v>
                </c:pt>
                <c:pt idx="225">
                  <c:v>70.576975659743255</c:v>
                </c:pt>
                <c:pt idx="226">
                  <c:v>70.741778106284713</c:v>
                </c:pt>
                <c:pt idx="227">
                  <c:v>70.908588716351503</c:v>
                </c:pt>
                <c:pt idx="228">
                  <c:v>71.077059093683175</c:v>
                </c:pt>
                <c:pt idx="229">
                  <c:v>71.246845752183077</c:v>
                </c:pt>
                <c:pt idx="230">
                  <c:v>71.417610863710024</c:v>
                </c:pt>
                <c:pt idx="231">
                  <c:v>71.589022938667227</c:v>
                </c:pt>
                <c:pt idx="232">
                  <c:v>71.76075743873561</c:v>
                </c:pt>
                <c:pt idx="233">
                  <c:v>71.932497321702101</c:v>
                </c:pt>
                <c:pt idx="234">
                  <c:v>72.103933518880467</c:v>
                </c:pt>
                <c:pt idx="235">
                  <c:v>72.274765346144065</c:v>
                </c:pt>
                <c:pt idx="236">
                  <c:v>72.444700850047411</c:v>
                </c:pt>
                <c:pt idx="237">
                  <c:v>72.613457090925365</c:v>
                </c:pt>
                <c:pt idx="238">
                  <c:v>72.780760365246934</c:v>
                </c:pt>
                <c:pt idx="239">
                  <c:v>72.94634636978293</c:v>
                </c:pt>
                <c:pt idx="240">
                  <c:v>73.109960310440087</c:v>
                </c:pt>
                <c:pt idx="241">
                  <c:v>73.271356958809264</c:v>
                </c:pt>
                <c:pt idx="242">
                  <c:v>73.430300659649276</c:v>
                </c:pt>
                <c:pt idx="243">
                  <c:v>73.586565292645119</c:v>
                </c:pt>
                <c:pt idx="244">
                  <c:v>73.739934191856776</c:v>
                </c:pt>
                <c:pt idx="245">
                  <c:v>73.890200026308989</c:v>
                </c:pt>
                <c:pt idx="246">
                  <c:v>74.037164645175125</c:v>
                </c:pt>
                <c:pt idx="247">
                  <c:v>74.18063889097246</c:v>
                </c:pt>
                <c:pt idx="248">
                  <c:v>74.320442384123012</c:v>
                </c:pt>
                <c:pt idx="249">
                  <c:v>74.456403282148784</c:v>
                </c:pt>
                <c:pt idx="250">
                  <c:v>74.588358016653132</c:v>
                </c:pt>
                <c:pt idx="251">
                  <c:v>74.716151011119422</c:v>
                </c:pt>
                <c:pt idx="252">
                  <c:v>74.8396343824094</c:v>
                </c:pt>
                <c:pt idx="253">
                  <c:v>74.95866762868323</c:v>
                </c:pt>
                <c:pt idx="254">
                  <c:v>75.073117306313478</c:v>
                </c:pt>
                <c:pt idx="255">
                  <c:v>75.182856698178398</c:v>
                </c:pt>
                <c:pt idx="256">
                  <c:v>75.287765475557208</c:v>
                </c:pt>
                <c:pt idx="257">
                  <c:v>75.387729355673642</c:v>
                </c:pt>
                <c:pt idx="258">
                  <c:v>75.482639756756399</c:v>
                </c:pt>
                <c:pt idx="259">
                  <c:v>75.572393452319886</c:v>
                </c:pt>
                <c:pt idx="260">
                  <c:v>75.656892226198465</c:v>
                </c:pt>
                <c:pt idx="261">
                  <c:v>75.736042529706395</c:v>
                </c:pt>
                <c:pt idx="262">
                  <c:v>75.809755142142279</c:v>
                </c:pt>
                <c:pt idx="263">
                  <c:v>75.877944835710039</c:v>
                </c:pt>
                <c:pt idx="264">
                  <c:v>75.940530045783532</c:v>
                </c:pt>
                <c:pt idx="265">
                  <c:v>75.997432547319875</c:v>
                </c:pt>
                <c:pt idx="266">
                  <c:v>76.048577138092597</c:v>
                </c:pt>
                <c:pt idx="267">
                  <c:v>76.093891329313365</c:v>
                </c:pt>
                <c:pt idx="268">
                  <c:v>76.133305044096375</c:v>
                </c:pt>
                <c:pt idx="269">
                  <c:v>76.16675032412779</c:v>
                </c:pt>
                <c:pt idx="270">
                  <c:v>76.194161044814308</c:v>
                </c:pt>
                <c:pt idx="271">
                  <c:v>76.215472639104917</c:v>
                </c:pt>
                <c:pt idx="272">
                  <c:v>76.230621830107594</c:v>
                </c:pt>
                <c:pt idx="273">
                  <c:v>76.239546372560142</c:v>
                </c:pt>
                <c:pt idx="274">
                  <c:v>76.24218480315713</c:v>
                </c:pt>
                <c:pt idx="275">
                  <c:v>76.238476199686602</c:v>
                </c:pt>
                <c:pt idx="276">
                  <c:v>76.228359948883991</c:v>
                </c:pt>
                <c:pt idx="277">
                  <c:v>76.211775522880487</c:v>
                </c:pt>
                <c:pt idx="278">
                  <c:v>76.188662264083305</c:v>
                </c:pt>
                <c:pt idx="279">
                  <c:v>76.158959178308493</c:v>
                </c:pt>
                <c:pt idx="280">
                  <c:v>76.12260473596055</c:v>
                </c:pt>
                <c:pt idx="281">
                  <c:v>76.079536681039912</c:v>
                </c:pt>
                <c:pt idx="282">
                  <c:v>76.029691847746619</c:v>
                </c:pt>
                <c:pt idx="283">
                  <c:v>75.973005984441798</c:v>
                </c:pt>
                <c:pt idx="284">
                  <c:v>75.909413584725016</c:v>
                </c:pt>
                <c:pt idx="285">
                  <c:v>75.838847725383161</c:v>
                </c:pt>
                <c:pt idx="286">
                  <c:v>75.76123991097154</c:v>
                </c:pt>
                <c:pt idx="287">
                  <c:v>75.676519924792629</c:v>
                </c:pt>
                <c:pt idx="288">
                  <c:v>75.584615686046149</c:v>
                </c:pt>
                <c:pt idx="289">
                  <c:v>75.485453112933271</c:v>
                </c:pt>
                <c:pt idx="290">
                  <c:v>75.378955991516861</c:v>
                </c:pt>
                <c:pt idx="291">
                  <c:v>75.265045850147402</c:v>
                </c:pt>
                <c:pt idx="292">
                  <c:v>75.143641839288492</c:v>
                </c:pt>
                <c:pt idx="293">
                  <c:v>75.014660616592124</c:v>
                </c:pt>
                <c:pt idx="294">
                  <c:v>74.878016237097427</c:v>
                </c:pt>
                <c:pt idx="295">
                  <c:v>74.733620048449623</c:v>
                </c:pt>
                <c:pt idx="296">
                  <c:v>74.581380591060494</c:v>
                </c:pt>
                <c:pt idx="297">
                  <c:v>74.421203503165785</c:v>
                </c:pt>
                <c:pt idx="298">
                  <c:v>74.252991430752587</c:v>
                </c:pt>
                <c:pt idx="299">
                  <c:v>74.076643942374631</c:v>
                </c:pt>
                <c:pt idx="300">
                  <c:v>73.892057448898029</c:v>
                </c:pt>
                <c:pt idx="301">
                  <c:v>73.699125128258771</c:v>
                </c:pt>
                <c:pt idx="302">
                  <c:v>73.49773685535034</c:v>
                </c:pt>
                <c:pt idx="303">
                  <c:v>73.287779137200062</c:v>
                </c:pt>
                <c:pt idx="304">
                  <c:v>73.069135053633147</c:v>
                </c:pt>
                <c:pt idx="305">
                  <c:v>72.841684203668649</c:v>
                </c:pt>
                <c:pt idx="306">
                  <c:v>72.605302657935397</c:v>
                </c:pt>
                <c:pt idx="307">
                  <c:v>72.359862917445682</c:v>
                </c:pt>
                <c:pt idx="308">
                  <c:v>72.105233879112561</c:v>
                </c:pt>
                <c:pt idx="309">
                  <c:v>71.841280808450222</c:v>
                </c:pt>
                <c:pt idx="310">
                  <c:v>71.567865319949107</c:v>
                </c:pt>
                <c:pt idx="311">
                  <c:v>71.28484536567197</c:v>
                </c:pt>
                <c:pt idx="312">
                  <c:v>70.992075232677337</c:v>
                </c:pt>
                <c:pt idx="313">
                  <c:v>70.689405549927756</c:v>
                </c:pt>
                <c:pt idx="314">
                  <c:v>70.376683305411191</c:v>
                </c:pt>
                <c:pt idx="315">
                  <c:v>70.053751874248093</c:v>
                </c:pt>
                <c:pt idx="316">
                  <c:v>69.720451058629678</c:v>
                </c:pt>
                <c:pt idx="317">
                  <c:v>69.376617140484584</c:v>
                </c:pt>
                <c:pt idx="318">
                  <c:v>69.022082947832345</c:v>
                </c:pt>
                <c:pt idx="319">
                  <c:v>68.656677935837607</c:v>
                </c:pt>
                <c:pt idx="320">
                  <c:v>68.280228283632738</c:v>
                </c:pt>
                <c:pt idx="321">
                  <c:v>67.892557008028575</c:v>
                </c:pt>
                <c:pt idx="322">
                  <c:v>67.493484095278575</c:v>
                </c:pt>
                <c:pt idx="323">
                  <c:v>67.082826652098092</c:v>
                </c:pt>
                <c:pt idx="324">
                  <c:v>66.660399077183257</c:v>
                </c:pt>
                <c:pt idx="325">
                  <c:v>66.226013254487356</c:v>
                </c:pt>
                <c:pt idx="326">
                  <c:v>65.779478769545065</c:v>
                </c:pt>
                <c:pt idx="327">
                  <c:v>65.320603150116895</c:v>
                </c:pt>
                <c:pt idx="328">
                  <c:v>64.849192132444784</c:v>
                </c:pt>
                <c:pt idx="329">
                  <c:v>64.365049954364906</c:v>
                </c:pt>
                <c:pt idx="330">
                  <c:v>63.867979676507474</c:v>
                </c:pt>
                <c:pt idx="331">
                  <c:v>63.357783532734857</c:v>
                </c:pt>
                <c:pt idx="332">
                  <c:v>62.834263310921763</c:v>
                </c:pt>
                <c:pt idx="333">
                  <c:v>62.29722076506512</c:v>
                </c:pt>
                <c:pt idx="334">
                  <c:v>61.746458059610227</c:v>
                </c:pt>
                <c:pt idx="335">
                  <c:v>61.181778246733828</c:v>
                </c:pt>
                <c:pt idx="336">
                  <c:v>60.602985777166516</c:v>
                </c:pt>
                <c:pt idx="337">
                  <c:v>60.009887044949643</c:v>
                </c:pt>
                <c:pt idx="338">
                  <c:v>59.402290966307525</c:v>
                </c:pt>
                <c:pt idx="339">
                  <c:v>58.780009592587007</c:v>
                </c:pt>
                <c:pt idx="340">
                  <c:v>58.142858756948876</c:v>
                </c:pt>
                <c:pt idx="341">
                  <c:v>57.490658754214444</c:v>
                </c:pt>
                <c:pt idx="342">
                  <c:v>56.823235052970631</c:v>
                </c:pt>
                <c:pt idx="343">
                  <c:v>56.140419038699612</c:v>
                </c:pt>
                <c:pt idx="344">
                  <c:v>55.442048786368261</c:v>
                </c:pt>
                <c:pt idx="345">
                  <c:v>54.727969860547127</c:v>
                </c:pt>
                <c:pt idx="346">
                  <c:v>53.998036140759005</c:v>
                </c:pt>
                <c:pt idx="347">
                  <c:v>53.252110669389602</c:v>
                </c:pt>
                <c:pt idx="348">
                  <c:v>52.490066519101482</c:v>
                </c:pt>
                <c:pt idx="349">
                  <c:v>51.711787676327262</c:v>
                </c:pt>
                <c:pt idx="350">
                  <c:v>50.917169937041038</c:v>
                </c:pt>
                <c:pt idx="351">
                  <c:v>50.106121810660746</c:v>
                </c:pt>
                <c:pt idx="352">
                  <c:v>49.278565427580567</c:v>
                </c:pt>
                <c:pt idx="353">
                  <c:v>48.43443744554353</c:v>
                </c:pt>
                <c:pt idx="354">
                  <c:v>47.573689949755277</c:v>
                </c:pt>
                <c:pt idx="355">
                  <c:v>46.696291341418473</c:v>
                </c:pt>
                <c:pt idx="356">
                  <c:v>45.802227209139588</c:v>
                </c:pt>
                <c:pt idx="357">
                  <c:v>44.891501177510079</c:v>
                </c:pt>
                <c:pt idx="358">
                  <c:v>43.964135727051115</c:v>
                </c:pt>
                <c:pt idx="359">
                  <c:v>43.020172979648066</c:v>
                </c:pt>
                <c:pt idx="360">
                  <c:v>42.059675443592972</c:v>
                </c:pt>
                <c:pt idx="361">
                  <c:v>41.082726712420666</c:v>
                </c:pt>
                <c:pt idx="362">
                  <c:v>40.089432111813139</c:v>
                </c:pt>
                <c:pt idx="363">
                  <c:v>39.079919289038706</c:v>
                </c:pt>
                <c:pt idx="364">
                  <c:v>38.054338739595352</c:v>
                </c:pt>
                <c:pt idx="365">
                  <c:v>37.012864266030626</c:v>
                </c:pt>
                <c:pt idx="366">
                  <c:v>35.955693364224061</c:v>
                </c:pt>
                <c:pt idx="367">
                  <c:v>34.883047532816875</c:v>
                </c:pt>
                <c:pt idx="368">
                  <c:v>33.79517250188794</c:v>
                </c:pt>
                <c:pt idx="369">
                  <c:v>32.692338377459208</c:v>
                </c:pt>
                <c:pt idx="370">
                  <c:v>31.574839698900902</c:v>
                </c:pt>
                <c:pt idx="371">
                  <c:v>30.442995406845569</c:v>
                </c:pt>
                <c:pt idx="372">
                  <c:v>29.297148719787174</c:v>
                </c:pt>
                <c:pt idx="373">
                  <c:v>28.137666918096155</c:v>
                </c:pt>
                <c:pt idx="374">
                  <c:v>26.964941034782491</c:v>
                </c:pt>
                <c:pt idx="375">
                  <c:v>25.779385452927354</c:v>
                </c:pt>
                <c:pt idx="376">
                  <c:v>24.581437410281481</c:v>
                </c:pt>
                <c:pt idx="377">
                  <c:v>23.3715564121391</c:v>
                </c:pt>
                <c:pt idx="378">
                  <c:v>22.150223554142599</c:v>
                </c:pt>
                <c:pt idx="379">
                  <c:v>20.917940757251525</c:v>
                </c:pt>
                <c:pt idx="380">
                  <c:v>19.675229917633146</c:v>
                </c:pt>
                <c:pt idx="381">
                  <c:v>18.422631974761316</c:v>
                </c:pt>
                <c:pt idx="382">
                  <c:v>17.160705901469544</c:v>
                </c:pt>
                <c:pt idx="383">
                  <c:v>15.8900276201922</c:v>
                </c:pt>
                <c:pt idx="384">
                  <c:v>14.611188850021286</c:v>
                </c:pt>
                <c:pt idx="385">
                  <c:v>13.32479588960506</c:v>
                </c:pt>
                <c:pt idx="386">
                  <c:v>12.031468341268027</c:v>
                </c:pt>
                <c:pt idx="387">
                  <c:v>10.731837782032891</c:v>
                </c:pt>
                <c:pt idx="388">
                  <c:v>9.4265463875091537</c:v>
                </c:pt>
                <c:pt idx="389">
                  <c:v>8.1162455148372477</c:v>
                </c:pt>
                <c:pt idx="390">
                  <c:v>6.8015942510886616</c:v>
                </c:pt>
                <c:pt idx="391">
                  <c:v>5.4832579336571596</c:v>
                </c:pt>
                <c:pt idx="392">
                  <c:v>4.1619066493113746</c:v>
                </c:pt>
                <c:pt idx="393">
                  <c:v>2.8382137186560028</c:v>
                </c:pt>
                <c:pt idx="394">
                  <c:v>1.5128541727774034</c:v>
                </c:pt>
                <c:pt idx="395">
                  <c:v>0.18650322886457157</c:v>
                </c:pt>
                <c:pt idx="396">
                  <c:v>-1.1401652284384176</c:v>
                </c:pt>
                <c:pt idx="397">
                  <c:v>-2.4664801532755543</c:v>
                </c:pt>
                <c:pt idx="398">
                  <c:v>-3.7917748258373334</c:v>
                </c:pt>
                <c:pt idx="399">
                  <c:v>-5.1153883142190217</c:v>
                </c:pt>
                <c:pt idx="400">
                  <c:v>-6.4366669046224114</c:v>
                </c:pt>
                <c:pt idx="401">
                  <c:v>-7.7549654938876333</c:v>
                </c:pt>
                <c:pt idx="402">
                  <c:v>-9.0696489385687471</c:v>
                </c:pt>
                <c:pt idx="403">
                  <c:v>-10.380093355078948</c:v>
                </c:pt>
                <c:pt idx="404">
                  <c:v>-11.685687365734859</c:v>
                </c:pt>
                <c:pt idx="405">
                  <c:v>-12.985833285890186</c:v>
                </c:pt>
                <c:pt idx="406">
                  <c:v>-14.279948247736373</c:v>
                </c:pt>
                <c:pt idx="407">
                  <c:v>-15.567465256753186</c:v>
                </c:pt>
                <c:pt idx="408">
                  <c:v>-16.847834177239168</c:v>
                </c:pt>
                <c:pt idx="409">
                  <c:v>-18.120522643808062</c:v>
                </c:pt>
                <c:pt idx="410">
                  <c:v>-19.385016896225274</c:v>
                </c:pt>
                <c:pt idx="411">
                  <c:v>-20.640822535444325</c:v>
                </c:pt>
                <c:pt idx="412">
                  <c:v>-21.887465199234423</c:v>
                </c:pt>
                <c:pt idx="413">
                  <c:v>-23.124491156278253</c:v>
                </c:pt>
                <c:pt idx="414">
                  <c:v>-24.351467818155296</c:v>
                </c:pt>
                <c:pt idx="415">
                  <c:v>-25.567984169139613</c:v>
                </c:pt>
                <c:pt idx="416">
                  <c:v>-26.77365111423596</c:v>
                </c:pt>
                <c:pt idx="417">
                  <c:v>-27.968101746381087</c:v>
                </c:pt>
                <c:pt idx="418">
                  <c:v>-29.150991534203936</c:v>
                </c:pt>
                <c:pt idx="419">
                  <c:v>-30.321998432194626</c:v>
                </c:pt>
                <c:pt idx="420">
                  <c:v>-31.480822915546458</c:v>
                </c:pt>
                <c:pt idx="421">
                  <c:v>-32.627187942337862</c:v>
                </c:pt>
                <c:pt idx="422">
                  <c:v>-33.760838846060054</c:v>
                </c:pt>
                <c:pt idx="423">
                  <c:v>-34.881543161836468</c:v>
                </c:pt>
                <c:pt idx="424">
                  <c:v>-35.989090389928975</c:v>
                </c:pt>
                <c:pt idx="425">
                  <c:v>-37.08329170039277</c:v>
                </c:pt>
                <c:pt idx="426">
                  <c:v>-38.163979582910052</c:v>
                </c:pt>
                <c:pt idx="427">
                  <c:v>-39.231007445990635</c:v>
                </c:pt>
                <c:pt idx="428">
                  <c:v>-40.284249169840663</c:v>
                </c:pt>
                <c:pt idx="429">
                  <c:v>-41.323598617265937</c:v>
                </c:pt>
                <c:pt idx="430">
                  <c:v>-42.348969106983333</c:v>
                </c:pt>
                <c:pt idx="431">
                  <c:v>-43.360292853739395</c:v>
                </c:pt>
                <c:pt idx="432">
                  <c:v>-44.357520379541889</c:v>
                </c:pt>
                <c:pt idx="433">
                  <c:v>-45.340619900275009</c:v>
                </c:pt>
                <c:pt idx="434">
                  <c:v>-46.309576691824972</c:v>
                </c:pt>
                <c:pt idx="435">
                  <c:v>-47.264392439721306</c:v>
                </c:pt>
                <c:pt idx="436">
                  <c:v>-48.205084576144031</c:v>
                </c:pt>
                <c:pt idx="437">
                  <c:v>-49.13168560795701</c:v>
                </c:pt>
                <c:pt idx="438">
                  <c:v>-50.044242439240165</c:v>
                </c:pt>
                <c:pt idx="439">
                  <c:v>-50.942815691583377</c:v>
                </c:pt>
                <c:pt idx="440">
                  <c:v>-51.827479025188623</c:v>
                </c:pt>
                <c:pt idx="441">
                  <c:v>-52.698318463599584</c:v>
                </c:pt>
                <c:pt idx="442">
                  <c:v>-53.555431724653452</c:v>
                </c:pt>
                <c:pt idx="443">
                  <c:v>-54.398927560019125</c:v>
                </c:pt>
                <c:pt idx="444">
                  <c:v>-55.228925105459545</c:v>
                </c:pt>
                <c:pt idx="445">
                  <c:v>-56.045553243726332</c:v>
                </c:pt>
                <c:pt idx="446">
                  <c:v>-56.848949981784457</c:v>
                </c:pt>
                <c:pt idx="447">
                  <c:v>-57.639261843843848</c:v>
                </c:pt>
                <c:pt idx="448">
                  <c:v>-58.416643281475999</c:v>
                </c:pt>
                <c:pt idx="449">
                  <c:v>-59.181256101894625</c:v>
                </c:pt>
                <c:pt idx="450">
                  <c:v>-59.933268915301284</c:v>
                </c:pt>
                <c:pt idx="451">
                  <c:v>-60.672856602011443</c:v>
                </c:pt>
                <c:pt idx="452">
                  <c:v>-61.400199799927869</c:v>
                </c:pt>
                <c:pt idx="453">
                  <c:v>-62.115484412768403</c:v>
                </c:pt>
                <c:pt idx="454">
                  <c:v>-62.818901139312686</c:v>
                </c:pt>
                <c:pt idx="455">
                  <c:v>-63.510645023818782</c:v>
                </c:pt>
                <c:pt idx="456">
                  <c:v>-64.190915027624584</c:v>
                </c:pt>
                <c:pt idx="457">
                  <c:v>-64.859913621865502</c:v>
                </c:pt>
                <c:pt idx="458">
                  <c:v>-65.517846401125993</c:v>
                </c:pt>
                <c:pt idx="459">
                  <c:v>-66.164921717772103</c:v>
                </c:pt>
                <c:pt idx="460">
                  <c:v>-66.801350336634485</c:v>
                </c:pt>
                <c:pt idx="461">
                  <c:v>-67.427345109642744</c:v>
                </c:pt>
                <c:pt idx="462">
                  <c:v>-68.043120669966498</c:v>
                </c:pt>
                <c:pt idx="463">
                  <c:v>-68.648893145157629</c:v>
                </c:pt>
                <c:pt idx="464">
                  <c:v>-69.244879888766562</c:v>
                </c:pt>
                <c:pt idx="465">
                  <c:v>-69.831299229851368</c:v>
                </c:pt>
                <c:pt idx="466">
                  <c:v>-70.408370239795346</c:v>
                </c:pt>
                <c:pt idx="467">
                  <c:v>-70.976312515810449</c:v>
                </c:pt>
                <c:pt idx="468">
                  <c:v>-71.535345980500537</c:v>
                </c:pt>
                <c:pt idx="469">
                  <c:v>-72.085690696844821</c:v>
                </c:pt>
                <c:pt idx="470">
                  <c:v>-72.627566697955771</c:v>
                </c:pt>
                <c:pt idx="471">
                  <c:v>-73.161193830968841</c:v>
                </c:pt>
                <c:pt idx="472">
                  <c:v>-73.686791614414787</c:v>
                </c:pt>
                <c:pt idx="473">
                  <c:v>-74.204579108442246</c:v>
                </c:pt>
                <c:pt idx="474">
                  <c:v>-74.714774797253284</c:v>
                </c:pt>
                <c:pt idx="475">
                  <c:v>-75.217596483133804</c:v>
                </c:pt>
                <c:pt idx="476">
                  <c:v>-75.713261191466557</c:v>
                </c:pt>
                <c:pt idx="477">
                  <c:v>-76.20198508613008</c:v>
                </c:pt>
                <c:pt idx="478">
                  <c:v>-76.683983394699723</c:v>
                </c:pt>
                <c:pt idx="479">
                  <c:v>-77.159470342883324</c:v>
                </c:pt>
                <c:pt idx="480">
                  <c:v>-77.628659097638632</c:v>
                </c:pt>
                <c:pt idx="481">
                  <c:v>-78.091761718435649</c:v>
                </c:pt>
                <c:pt idx="482">
                  <c:v>-78.548989116146998</c:v>
                </c:pt>
                <c:pt idx="483">
                  <c:v>-79.000551019060183</c:v>
                </c:pt>
                <c:pt idx="484">
                  <c:v>-79.446655945528605</c:v>
                </c:pt>
                <c:pt idx="485">
                  <c:v>-79.887511182789837</c:v>
                </c:pt>
                <c:pt idx="486">
                  <c:v>-80.323322771499022</c:v>
                </c:pt>
                <c:pt idx="487">
                  <c:v>-80.754295495539765</c:v>
                </c:pt>
                <c:pt idx="488">
                  <c:v>-81.180632876689174</c:v>
                </c:pt>
                <c:pt idx="489">
                  <c:v>-81.602537173731534</c:v>
                </c:pt>
                <c:pt idx="490">
                  <c:v>-82.020209385626274</c:v>
                </c:pt>
                <c:pt idx="491">
                  <c:v>-82.433849258350065</c:v>
                </c:pt>
                <c:pt idx="492">
                  <c:v>-82.84365529504673</c:v>
                </c:pt>
                <c:pt idx="493">
                  <c:v>-83.249824769129333</c:v>
                </c:pt>
                <c:pt idx="494">
                  <c:v>-83.652553739989557</c:v>
                </c:pt>
                <c:pt idx="495">
                  <c:v>-84.052037070982095</c:v>
                </c:pt>
                <c:pt idx="496">
                  <c:v>-84.448468449357193</c:v>
                </c:pt>
                <c:pt idx="497">
                  <c:v>-84.842040407826502</c:v>
                </c:pt>
                <c:pt idx="498">
                  <c:v>-85.232944347453468</c:v>
                </c:pt>
                <c:pt idx="499">
                  <c:v>-85.621370561565826</c:v>
                </c:pt>
                <c:pt idx="500">
                  <c:v>-86.007508260393863</c:v>
                </c:pt>
                <c:pt idx="501">
                  <c:v>-86.391545596143729</c:v>
                </c:pt>
                <c:pt idx="502">
                  <c:v>-86.773669688216657</c:v>
                </c:pt>
                <c:pt idx="503">
                  <c:v>-87.154066648292158</c:v>
                </c:pt>
                <c:pt idx="504">
                  <c:v>-87.532921604989681</c:v>
                </c:pt>
                <c:pt idx="505">
                  <c:v>-87.910418727830091</c:v>
                </c:pt>
                <c:pt idx="506">
                  <c:v>-88.286741250215343</c:v>
                </c:pt>
                <c:pt idx="507">
                  <c:v>-88.662071491144744</c:v>
                </c:pt>
                <c:pt idx="508">
                  <c:v>-89.036590875386366</c:v>
                </c:pt>
                <c:pt idx="509">
                  <c:v>-89.410479951818289</c:v>
                </c:pt>
                <c:pt idx="510">
                  <c:v>-89.783918409653239</c:v>
                </c:pt>
                <c:pt idx="511">
                  <c:v>-90.157085092255102</c:v>
                </c:pt>
                <c:pt idx="512">
                  <c:v>-90.530158008253423</c:v>
                </c:pt>
                <c:pt idx="513">
                  <c:v>-90.903314339654926</c:v>
                </c:pt>
                <c:pt idx="514">
                  <c:v>-91.276730446648472</c:v>
                </c:pt>
                <c:pt idx="515">
                  <c:v>-91.650581868790439</c:v>
                </c:pt>
                <c:pt idx="516">
                  <c:v>-92.025043322255442</c:v>
                </c:pt>
                <c:pt idx="517">
                  <c:v>-92.400288692826308</c:v>
                </c:pt>
                <c:pt idx="518">
                  <c:v>-92.776491024292966</c:v>
                </c:pt>
                <c:pt idx="519">
                  <c:v>-93.153822501922193</c:v>
                </c:pt>
                <c:pt idx="520">
                  <c:v>-93.532454430651413</c:v>
                </c:pt>
                <c:pt idx="521">
                  <c:v>-93.912557207654444</c:v>
                </c:pt>
                <c:pt idx="522">
                  <c:v>-94.294300288918151</c:v>
                </c:pt>
                <c:pt idx="523">
                  <c:v>-94.677852149463789</c:v>
                </c:pt>
                <c:pt idx="524">
                  <c:v>-95.063380236838938</c:v>
                </c:pt>
                <c:pt idx="525">
                  <c:v>-95.451050917500467</c:v>
                </c:pt>
                <c:pt idx="526">
                  <c:v>-95.841029415705123</c:v>
                </c:pt>
                <c:pt idx="527">
                  <c:v>-96.233479744519244</c:v>
                </c:pt>
                <c:pt idx="528">
                  <c:v>-96.628564628555822</c:v>
                </c:pt>
                <c:pt idx="529">
                  <c:v>-97.026445418050557</c:v>
                </c:pt>
                <c:pt idx="530">
                  <c:v>-97.427281993879802</c:v>
                </c:pt>
                <c:pt idx="531">
                  <c:v>-97.831232663138451</c:v>
                </c:pt>
                <c:pt idx="532">
                  <c:v>-98.238454044889423</c:v>
                </c:pt>
                <c:pt idx="533">
                  <c:v>-98.649100945713215</c:v>
                </c:pt>
                <c:pt idx="534">
                  <c:v>-99.063326224690385</c:v>
                </c:pt>
                <c:pt idx="535">
                  <c:v>-99.481280647469021</c:v>
                </c:pt>
                <c:pt idx="536">
                  <c:v>-99.903112729083873</c:v>
                </c:pt>
                <c:pt idx="537">
                  <c:v>-100.3289685652209</c:v>
                </c:pt>
                <c:pt idx="538">
                  <c:v>-100.75899165164321</c:v>
                </c:pt>
                <c:pt idx="539">
                  <c:v>-101.19332269152993</c:v>
                </c:pt>
                <c:pt idx="540">
                  <c:v>-101.63209939051643</c:v>
                </c:pt>
                <c:pt idx="541">
                  <c:v>-102.07545623927076</c:v>
                </c:pt>
              </c:numCache>
            </c:numRef>
          </c:yVal>
          <c:smooth val="1"/>
          <c:extLst>
            <c:ext xmlns:c16="http://schemas.microsoft.com/office/drawing/2014/chart" uri="{C3380CC4-5D6E-409C-BE32-E72D297353CC}">
              <c16:uniqueId val="{00000001-7AB1-42AA-8DBD-6D7B5452EF93}"/>
            </c:ext>
          </c:extLst>
        </c:ser>
        <c:dLbls>
          <c:showLegendKey val="0"/>
          <c:showVal val="0"/>
          <c:showCatName val="0"/>
          <c:showSerName val="0"/>
          <c:showPercent val="0"/>
          <c:showBubbleSize val="0"/>
        </c:dLbls>
        <c:axId val="365469056"/>
        <c:axId val="365467520"/>
      </c:scatterChart>
      <c:valAx>
        <c:axId val="36545523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65600"/>
        <c:crosses val="autoZero"/>
        <c:crossBetween val="midCat"/>
      </c:valAx>
      <c:valAx>
        <c:axId val="36546560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365455232"/>
        <c:crosses val="autoZero"/>
        <c:crossBetween val="midCat"/>
        <c:majorUnit val="20"/>
        <c:minorUnit val="10"/>
      </c:valAx>
      <c:valAx>
        <c:axId val="365467520"/>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365469056"/>
        <c:crosses val="max"/>
        <c:crossBetween val="midCat"/>
        <c:majorUnit val="90"/>
        <c:minorUnit val="45"/>
      </c:valAx>
      <c:valAx>
        <c:axId val="365469056"/>
        <c:scaling>
          <c:logBase val="10"/>
          <c:orientation val="minMax"/>
        </c:scaling>
        <c:delete val="1"/>
        <c:axPos val="b"/>
        <c:numFmt formatCode="0.00" sourceLinked="1"/>
        <c:majorTickMark val="out"/>
        <c:minorTickMark val="none"/>
        <c:tickLblPos val="nextTo"/>
        <c:crossAx val="36546752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37.181544426162219</c:v>
                </c:pt>
                <c:pt idx="1">
                  <c:v>37.181511473495291</c:v>
                </c:pt>
                <c:pt idx="2">
                  <c:v>37.181476968085192</c:v>
                </c:pt>
                <c:pt idx="3">
                  <c:v>37.181440836779267</c:v>
                </c:pt>
                <c:pt idx="4">
                  <c:v>37.181403002979764</c:v>
                </c:pt>
                <c:pt idx="5">
                  <c:v>37.181363386481763</c:v>
                </c:pt>
                <c:pt idx="6">
                  <c:v>37.181321903303314</c:v>
                </c:pt>
                <c:pt idx="7">
                  <c:v>37.181278465507923</c:v>
                </c:pt>
                <c:pt idx="8">
                  <c:v>37.181232981018283</c:v>
                </c:pt>
                <c:pt idx="9">
                  <c:v>37.181185353421647</c:v>
                </c:pt>
                <c:pt idx="10">
                  <c:v>37.18113548176575</c:v>
                </c:pt>
                <c:pt idx="11">
                  <c:v>37.181083260345382</c:v>
                </c:pt>
                <c:pt idx="12">
                  <c:v>37.181028578478809</c:v>
                </c:pt>
                <c:pt idx="13">
                  <c:v>37.180971320273727</c:v>
                </c:pt>
                <c:pt idx="14">
                  <c:v>37.180911364382261</c:v>
                </c:pt>
                <c:pt idx="15">
                  <c:v>37.180848583744492</c:v>
                </c:pt>
                <c:pt idx="16">
                  <c:v>37.180782845319825</c:v>
                </c:pt>
                <c:pt idx="17">
                  <c:v>37.180714009805939</c:v>
                </c:pt>
                <c:pt idx="18">
                  <c:v>37.180641931344447</c:v>
                </c:pt>
                <c:pt idx="19">
                  <c:v>37.180566457212798</c:v>
                </c:pt>
                <c:pt idx="20">
                  <c:v>37.180487427501745</c:v>
                </c:pt>
                <c:pt idx="21">
                  <c:v>37.180404674777655</c:v>
                </c:pt>
                <c:pt idx="22">
                  <c:v>37.180318023729072</c:v>
                </c:pt>
                <c:pt idx="23">
                  <c:v>37.180227290796722</c:v>
                </c:pt>
                <c:pt idx="24">
                  <c:v>37.180132283786179</c:v>
                </c:pt>
                <c:pt idx="25">
                  <c:v>37.180032801462374</c:v>
                </c:pt>
                <c:pt idx="26">
                  <c:v>37.179928633125307</c:v>
                </c:pt>
                <c:pt idx="27">
                  <c:v>37.179819558165597</c:v>
                </c:pt>
                <c:pt idx="28">
                  <c:v>37.179705345599672</c:v>
                </c:pt>
                <c:pt idx="29">
                  <c:v>37.179585753582899</c:v>
                </c:pt>
                <c:pt idx="30">
                  <c:v>37.179460528900222</c:v>
                </c:pt>
                <c:pt idx="31">
                  <c:v>37.179329406432799</c:v>
                </c:pt>
                <c:pt idx="32">
                  <c:v>37.179192108600006</c:v>
                </c:pt>
                <c:pt idx="33">
                  <c:v>37.179048344775168</c:v>
                </c:pt>
                <c:pt idx="34">
                  <c:v>37.178897810674307</c:v>
                </c:pt>
                <c:pt idx="35">
                  <c:v>37.178740187716187</c:v>
                </c:pt>
                <c:pt idx="36">
                  <c:v>37.17857514235277</c:v>
                </c:pt>
                <c:pt idx="37">
                  <c:v>37.17840232536831</c:v>
                </c:pt>
                <c:pt idx="38">
                  <c:v>37.178221371146037</c:v>
                </c:pt>
                <c:pt idx="39">
                  <c:v>37.178031896900691</c:v>
                </c:pt>
                <c:pt idx="40">
                  <c:v>37.177833501875369</c:v>
                </c:pt>
                <c:pt idx="41">
                  <c:v>37.177625766501158</c:v>
                </c:pt>
                <c:pt idx="42">
                  <c:v>37.177408251517754</c:v>
                </c:pt>
                <c:pt idx="43">
                  <c:v>37.177180497053435</c:v>
                </c:pt>
                <c:pt idx="44">
                  <c:v>37.176942021662285</c:v>
                </c:pt>
                <c:pt idx="45">
                  <c:v>37.176692321316956</c:v>
                </c:pt>
                <c:pt idx="46">
                  <c:v>37.176430868354885</c:v>
                </c:pt>
                <c:pt idx="47">
                  <c:v>37.176157110375854</c:v>
                </c:pt>
                <c:pt idx="48">
                  <c:v>37.175870469088657</c:v>
                </c:pt>
                <c:pt idx="49">
                  <c:v>37.175570339104603</c:v>
                </c:pt>
                <c:pt idx="50">
                  <c:v>37.175256086675518</c:v>
                </c:pt>
                <c:pt idx="51">
                  <c:v>37.174927048373753</c:v>
                </c:pt>
                <c:pt idx="52">
                  <c:v>37.174582529711458</c:v>
                </c:pt>
                <c:pt idx="53">
                  <c:v>37.174221803696582</c:v>
                </c:pt>
                <c:pt idx="54">
                  <c:v>37.173844109322722</c:v>
                </c:pt>
                <c:pt idx="55">
                  <c:v>37.173448649989879</c:v>
                </c:pt>
                <c:pt idx="56">
                  <c:v>37.173034591853096</c:v>
                </c:pt>
                <c:pt idx="57">
                  <c:v>37.172601062095637</c:v>
                </c:pt>
                <c:pt idx="58">
                  <c:v>37.172147147123752</c:v>
                </c:pt>
                <c:pt idx="59">
                  <c:v>37.171671890679121</c:v>
                </c:pt>
                <c:pt idx="60">
                  <c:v>37.171174291865782</c:v>
                </c:pt>
                <c:pt idx="61">
                  <c:v>37.170653303087633</c:v>
                </c:pt>
                <c:pt idx="62">
                  <c:v>37.170107827892615</c:v>
                </c:pt>
                <c:pt idx="63">
                  <c:v>37.169536718719705</c:v>
                </c:pt>
                <c:pt idx="64">
                  <c:v>37.168938774544372</c:v>
                </c:pt>
                <c:pt idx="65">
                  <c:v>37.16831273841828</c:v>
                </c:pt>
                <c:pt idx="66">
                  <c:v>37.16765729489871</c:v>
                </c:pt>
                <c:pt idx="67">
                  <c:v>37.166971067363036</c:v>
                </c:pt>
                <c:pt idx="68">
                  <c:v>37.166252615203355</c:v>
                </c:pt>
                <c:pt idx="69">
                  <c:v>37.16550043089655</c:v>
                </c:pt>
                <c:pt idx="70">
                  <c:v>37.164712936944142</c:v>
                </c:pt>
                <c:pt idx="71">
                  <c:v>37.163888482677081</c:v>
                </c:pt>
                <c:pt idx="72">
                  <c:v>37.163025340919425</c:v>
                </c:pt>
                <c:pt idx="73">
                  <c:v>37.162121704505829</c:v>
                </c:pt>
                <c:pt idx="74">
                  <c:v>37.161175682646245</c:v>
                </c:pt>
                <c:pt idx="75">
                  <c:v>37.160185297132251</c:v>
                </c:pt>
                <c:pt idx="76">
                  <c:v>37.159148478378626</c:v>
                </c:pt>
                <c:pt idx="77">
                  <c:v>37.15806306129349</c:v>
                </c:pt>
                <c:pt idx="78">
                  <c:v>37.156926780970757</c:v>
                </c:pt>
                <c:pt idx="79">
                  <c:v>37.155737268197747</c:v>
                </c:pt>
                <c:pt idx="80">
                  <c:v>37.15449204477116</c:v>
                </c:pt>
                <c:pt idx="81">
                  <c:v>37.153188518614229</c:v>
                </c:pt>
                <c:pt idx="82">
                  <c:v>37.151823978687624</c:v>
                </c:pt>
                <c:pt idx="83">
                  <c:v>37.150395589686724</c:v>
                </c:pt>
                <c:pt idx="84">
                  <c:v>37.148900386517653</c:v>
                </c:pt>
                <c:pt idx="85">
                  <c:v>37.147335268544211</c:v>
                </c:pt>
                <c:pt idx="86">
                  <c:v>37.145696993597809</c:v>
                </c:pt>
                <c:pt idx="87">
                  <c:v>37.143982171742508</c:v>
                </c:pt>
                <c:pt idx="88">
                  <c:v>37.142187258786954</c:v>
                </c:pt>
                <c:pt idx="89">
                  <c:v>37.140308549535206</c:v>
                </c:pt>
                <c:pt idx="90">
                  <c:v>37.138342170767956</c:v>
                </c:pt>
                <c:pt idx="91">
                  <c:v>37.136284073946349</c:v>
                </c:pt>
                <c:pt idx="92">
                  <c:v>37.134130027629602</c:v>
                </c:pt>
                <c:pt idx="93">
                  <c:v>37.131875609598907</c:v>
                </c:pt>
                <c:pt idx="94">
                  <c:v>37.129516198679013</c:v>
                </c:pt>
                <c:pt idx="95">
                  <c:v>37.127046966249644</c:v>
                </c:pt>
                <c:pt idx="96">
                  <c:v>37.124462867439249</c:v>
                </c:pt>
                <c:pt idx="97">
                  <c:v>37.121758631993089</c:v>
                </c:pt>
                <c:pt idx="98">
                  <c:v>37.118928754808714</c:v>
                </c:pt>
                <c:pt idx="99">
                  <c:v>37.115967486131723</c:v>
                </c:pt>
                <c:pt idx="100">
                  <c:v>37.112868821405435</c:v>
                </c:pt>
                <c:pt idx="101">
                  <c:v>37.109626490768413</c:v>
                </c:pt>
                <c:pt idx="102">
                  <c:v>37.106233948194493</c:v>
                </c:pt>
                <c:pt idx="103">
                  <c:v>37.102684360270494</c:v>
                </c:pt>
                <c:pt idx="104">
                  <c:v>37.098970594607913</c:v>
                </c:pt>
                <c:pt idx="105">
                  <c:v>37.095085207885347</c:v>
                </c:pt>
                <c:pt idx="106">
                  <c:v>37.091020433519908</c:v>
                </c:pt>
                <c:pt idx="107">
                  <c:v>37.086768168966536</c:v>
                </c:pt>
                <c:pt idx="108">
                  <c:v>37.082319962646125</c:v>
                </c:pt>
                <c:pt idx="109">
                  <c:v>37.077667000503858</c:v>
                </c:pt>
                <c:pt idx="110">
                  <c:v>37.072800092202009</c:v>
                </c:pt>
                <c:pt idx="111">
                  <c:v>37.067709656952019</c:v>
                </c:pt>
                <c:pt idx="112">
                  <c:v>37.062385708993688</c:v>
                </c:pt>
                <c:pt idx="113">
                  <c:v>37.056817842730979</c:v>
                </c:pt>
                <c:pt idx="114">
                  <c:v>37.050995217536482</c:v>
                </c:pt>
                <c:pt idx="115">
                  <c:v>37.044906542239396</c:v>
                </c:pt>
                <c:pt idx="116">
                  <c:v>37.03854005931462</c:v>
                </c:pt>
                <c:pt idx="117">
                  <c:v>37.03188352879377</c:v>
                </c:pt>
                <c:pt idx="118">
                  <c:v>37.024924211922773</c:v>
                </c:pt>
                <c:pt idx="119">
                  <c:v>37.017648854593396</c:v>
                </c:pt>
                <c:pt idx="120">
                  <c:v>37.010043670581744</c:v>
                </c:pt>
                <c:pt idx="121">
                  <c:v>37.00209432462924</c:v>
                </c:pt>
                <c:pt idx="122">
                  <c:v>36.993785915408012</c:v>
                </c:pt>
                <c:pt idx="123">
                  <c:v>36.985102958416277</c:v>
                </c:pt>
                <c:pt idx="124">
                  <c:v>36.976029368855507</c:v>
                </c:pt>
                <c:pt idx="125">
                  <c:v>36.96654844454639</c:v>
                </c:pt>
                <c:pt idx="126">
                  <c:v>36.956642848946778</c:v>
                </c:pt>
                <c:pt idx="127">
                  <c:v>36.946294594341332</c:v>
                </c:pt>
                <c:pt idx="128">
                  <c:v>36.935485025278822</c:v>
                </c:pt>
                <c:pt idx="129">
                  <c:v>36.924194802340459</c:v>
                </c:pt>
                <c:pt idx="130">
                  <c:v>36.912403886329997</c:v>
                </c:pt>
                <c:pt idx="131">
                  <c:v>36.900091522983416</c:v>
                </c:pt>
                <c:pt idx="132">
                  <c:v>36.887236228304587</c:v>
                </c:pt>
                <c:pt idx="133">
                  <c:v>36.873815774640775</c:v>
                </c:pt>
                <c:pt idx="134">
                  <c:v>36.859807177620411</c:v>
                </c:pt>
                <c:pt idx="135">
                  <c:v>36.845186684084084</c:v>
                </c:pt>
                <c:pt idx="136">
                  <c:v>36.829929761147611</c:v>
                </c:pt>
                <c:pt idx="137">
                  <c:v>36.814011086545165</c:v>
                </c:pt>
                <c:pt idx="138">
                  <c:v>36.797404540408117</c:v>
                </c:pt>
                <c:pt idx="139">
                  <c:v>36.780083198643972</c:v>
                </c:pt>
                <c:pt idx="140">
                  <c:v>36.762019328087213</c:v>
                </c:pt>
                <c:pt idx="141">
                  <c:v>36.743184383601495</c:v>
                </c:pt>
                <c:pt idx="142">
                  <c:v>36.723549007319377</c:v>
                </c:pt>
                <c:pt idx="143">
                  <c:v>36.703083030212291</c:v>
                </c:pt>
                <c:pt idx="144">
                  <c:v>36.681755476188023</c:v>
                </c:pt>
                <c:pt idx="145">
                  <c:v>36.659534568918318</c:v>
                </c:pt>
                <c:pt idx="146">
                  <c:v>36.63638774160119</c:v>
                </c:pt>
                <c:pt idx="147">
                  <c:v>36.612281649865224</c:v>
                </c:pt>
                <c:pt idx="148">
                  <c:v>36.58718218802197</c:v>
                </c:pt>
                <c:pt idx="149">
                  <c:v>36.561054508872196</c:v>
                </c:pt>
                <c:pt idx="150">
                  <c:v>36.53386304726682</c:v>
                </c:pt>
                <c:pt idx="151">
                  <c:v>36.505571547617578</c:v>
                </c:pt>
                <c:pt idx="152">
                  <c:v>36.476143095544352</c:v>
                </c:pt>
                <c:pt idx="153">
                  <c:v>36.445540153834358</c:v>
                </c:pt>
                <c:pt idx="154">
                  <c:v>36.413724602874865</c:v>
                </c:pt>
                <c:pt idx="155">
                  <c:v>36.380657785703335</c:v>
                </c:pt>
                <c:pt idx="156">
                  <c:v>36.346300557799637</c:v>
                </c:pt>
                <c:pt idx="157">
                  <c:v>36.310613341720355</c:v>
                </c:pt>
                <c:pt idx="158">
                  <c:v>36.273556186649117</c:v>
                </c:pt>
                <c:pt idx="159">
                  <c:v>36.235088832906008</c:v>
                </c:pt>
                <c:pt idx="160">
                  <c:v>36.19517078142556</c:v>
                </c:pt>
                <c:pt idx="161">
                  <c:v>36.153761368175566</c:v>
                </c:pt>
                <c:pt idx="162">
                  <c:v>36.110819843448795</c:v>
                </c:pt>
                <c:pt idx="163">
                  <c:v>36.066305455915916</c:v>
                </c:pt>
                <c:pt idx="164">
                  <c:v>36.02017754128228</c:v>
                </c:pt>
                <c:pt idx="165">
                  <c:v>35.972395615342244</c:v>
                </c:pt>
                <c:pt idx="166">
                  <c:v>35.922919471174481</c:v>
                </c:pt>
                <c:pt idx="167">
                  <c:v>35.871709280169696</c:v>
                </c:pt>
                <c:pt idx="168">
                  <c:v>35.818725696529029</c:v>
                </c:pt>
                <c:pt idx="169">
                  <c:v>35.763929964818942</c:v>
                </c:pt>
                <c:pt idx="170">
                  <c:v>35.707284030115439</c:v>
                </c:pt>
                <c:pt idx="171">
                  <c:v>35.648750650219306</c:v>
                </c:pt>
                <c:pt idx="172">
                  <c:v>35.588293509375568</c:v>
                </c:pt>
                <c:pt idx="173">
                  <c:v>35.525877332883454</c:v>
                </c:pt>
                <c:pt idx="174">
                  <c:v>35.461468001942578</c:v>
                </c:pt>
                <c:pt idx="175">
                  <c:v>35.395032668042624</c:v>
                </c:pt>
                <c:pt idx="176">
                  <c:v>35.326539866173455</c:v>
                </c:pt>
                <c:pt idx="177">
                  <c:v>35.255959626107447</c:v>
                </c:pt>
                <c:pt idx="178">
                  <c:v>35.183263580988715</c:v>
                </c:pt>
                <c:pt idx="179">
                  <c:v>35.108425072454679</c:v>
                </c:pt>
                <c:pt idx="180">
                  <c:v>35.031419251514748</c:v>
                </c:pt>
                <c:pt idx="181">
                  <c:v>34.952223174419878</c:v>
                </c:pt>
                <c:pt idx="182">
                  <c:v>34.870815892774431</c:v>
                </c:pt>
                <c:pt idx="183">
                  <c:v>34.787178537169737</c:v>
                </c:pt>
                <c:pt idx="184">
                  <c:v>34.701294393655601</c:v>
                </c:pt>
                <c:pt idx="185">
                  <c:v>34.613148972413335</c:v>
                </c:pt>
                <c:pt idx="186">
                  <c:v>34.522730068048155</c:v>
                </c:pt>
                <c:pt idx="187">
                  <c:v>34.4300278109841</c:v>
                </c:pt>
                <c:pt idx="188">
                  <c:v>34.335034709514808</c:v>
                </c:pt>
                <c:pt idx="189">
                  <c:v>34.237745682142197</c:v>
                </c:pt>
                <c:pt idx="190">
                  <c:v>34.138158079918789</c:v>
                </c:pt>
                <c:pt idx="191">
                  <c:v>34.036271698596572</c:v>
                </c:pt>
                <c:pt idx="192">
                  <c:v>33.932088780477436</c:v>
                </c:pt>
                <c:pt idx="193">
                  <c:v>33.825614005951856</c:v>
                </c:pt>
                <c:pt idx="194">
                  <c:v>33.716854474805331</c:v>
                </c:pt>
                <c:pt idx="195">
                  <c:v>33.605819677465036</c:v>
                </c:pt>
                <c:pt idx="196">
                  <c:v>33.492521456445303</c:v>
                </c:pt>
                <c:pt idx="197">
                  <c:v>33.3769739583391</c:v>
                </c:pt>
                <c:pt idx="198">
                  <c:v>33.259193576779872</c:v>
                </c:pt>
                <c:pt idx="199">
                  <c:v>33.139198886872123</c:v>
                </c:pt>
                <c:pt idx="200">
                  <c:v>33.017010571656513</c:v>
                </c:pt>
                <c:pt idx="201">
                  <c:v>32.892651341231513</c:v>
                </c:pt>
                <c:pt idx="202">
                  <c:v>32.766145845204761</c:v>
                </c:pt>
                <c:pt idx="203">
                  <c:v>32.637520579185647</c:v>
                </c:pt>
                <c:pt idx="204">
                  <c:v>32.506803786061901</c:v>
                </c:pt>
                <c:pt idx="205">
                  <c:v>32.374025352824816</c:v>
                </c:pt>
                <c:pt idx="206">
                  <c:v>32.239216703716885</c:v>
                </c:pt>
                <c:pt idx="207">
                  <c:v>32.10241069048022</c:v>
                </c:pt>
                <c:pt idx="208">
                  <c:v>31.9636414804758</c:v>
                </c:pt>
                <c:pt idx="209">
                  <c:v>31.822944443429559</c:v>
                </c:pt>
                <c:pt idx="210">
                  <c:v>31.680356037538221</c:v>
                </c:pt>
                <c:pt idx="211">
                  <c:v>31.535913695638925</c:v>
                </c:pt>
                <c:pt idx="212">
                  <c:v>31.389655712110972</c:v>
                </c:pt>
                <c:pt idx="213">
                  <c:v>31.24162113113719</c:v>
                </c:pt>
                <c:pt idx="214">
                  <c:v>31.091849636908556</c:v>
                </c:pt>
                <c:pt idx="215">
                  <c:v>30.94038144630666</c:v>
                </c:pt>
                <c:pt idx="216">
                  <c:v>30.787257204548261</c:v>
                </c:pt>
                <c:pt idx="217">
                  <c:v>30.632517884224697</c:v>
                </c:pt>
                <c:pt idx="218">
                  <c:v>30.476204688115175</c:v>
                </c:pt>
                <c:pt idx="219">
                  <c:v>30.318358956100266</c:v>
                </c:pt>
                <c:pt idx="220">
                  <c:v>30.159022076450587</c:v>
                </c:pt>
                <c:pt idx="221">
                  <c:v>29.998235401712996</c:v>
                </c:pt>
                <c:pt idx="222">
                  <c:v>29.836040169369824</c:v>
                </c:pt>
                <c:pt idx="223">
                  <c:v>29.672477427397297</c:v>
                </c:pt>
                <c:pt idx="224">
                  <c:v>29.50758796480763</c:v>
                </c:pt>
                <c:pt idx="225">
                  <c:v>29.341412247216461</c:v>
                </c:pt>
                <c:pt idx="226">
                  <c:v>29.173990357439404</c:v>
                </c:pt>
                <c:pt idx="227">
                  <c:v>29.005361941088353</c:v>
                </c:pt>
                <c:pt idx="228">
                  <c:v>28.835566157105092</c:v>
                </c:pt>
                <c:pt idx="229">
                  <c:v>28.664641633141621</c:v>
                </c:pt>
                <c:pt idx="230">
                  <c:v>28.492626425675923</c:v>
                </c:pt>
                <c:pt idx="231">
                  <c:v>28.319557984724884</c:v>
                </c:pt>
                <c:pt idx="232">
                  <c:v>28.145473123004173</c:v>
                </c:pt>
                <c:pt idx="233">
                  <c:v>27.970407989365363</c:v>
                </c:pt>
                <c:pt idx="234">
                  <c:v>27.794398046332127</c:v>
                </c:pt>
                <c:pt idx="235">
                  <c:v>27.617478051545817</c:v>
                </c:pt>
                <c:pt idx="236">
                  <c:v>27.439682042925774</c:v>
                </c:pt>
                <c:pt idx="237">
                  <c:v>27.261043327344481</c:v>
                </c:pt>
                <c:pt idx="238">
                  <c:v>27.081594472615716</c:v>
                </c:pt>
                <c:pt idx="239">
                  <c:v>26.90136730259352</c:v>
                </c:pt>
                <c:pt idx="240">
                  <c:v>26.72039289518203</c:v>
                </c:pt>
                <c:pt idx="241">
                  <c:v>26.538701583056596</c:v>
                </c:pt>
                <c:pt idx="242">
                  <c:v>26.356322956904389</c:v>
                </c:pt>
                <c:pt idx="243">
                  <c:v>26.173285870994604</c:v>
                </c:pt>
                <c:pt idx="244">
                  <c:v>25.989618450896138</c:v>
                </c:pt>
                <c:pt idx="245">
                  <c:v>25.805348103167422</c:v>
                </c:pt>
                <c:pt idx="246">
                  <c:v>25.620501526850003</c:v>
                </c:pt>
                <c:pt idx="247">
                  <c:v>25.435104726605829</c:v>
                </c:pt>
                <c:pt idx="248">
                  <c:v>25.249183027346326</c:v>
                </c:pt>
                <c:pt idx="249">
                  <c:v>25.062761090209552</c:v>
                </c:pt>
                <c:pt idx="250">
                  <c:v>24.875862929751303</c:v>
                </c:pt>
                <c:pt idx="251">
                  <c:v>24.688511932222738</c:v>
                </c:pt>
                <c:pt idx="252">
                  <c:v>24.500730874818281</c:v>
                </c:pt>
                <c:pt idx="253">
                  <c:v>24.312541945783618</c:v>
                </c:pt>
                <c:pt idx="254">
                  <c:v>24.123966765283381</c:v>
                </c:pt>
                <c:pt idx="255">
                  <c:v>23.935026406935677</c:v>
                </c:pt>
                <c:pt idx="256">
                  <c:v>23.745741419928876</c:v>
                </c:pt>
                <c:pt idx="257">
                  <c:v>23.55613185164275</c:v>
                </c:pt>
                <c:pt idx="258">
                  <c:v>23.366217270704205</c:v>
                </c:pt>
                <c:pt idx="259">
                  <c:v>23.176016790414348</c:v>
                </c:pt>
                <c:pt idx="260">
                  <c:v>22.985549092490348</c:v>
                </c:pt>
                <c:pt idx="261">
                  <c:v>22.794832451071446</c:v>
                </c:pt>
                <c:pt idx="262">
                  <c:v>22.603884756944716</c:v>
                </c:pt>
                <c:pt idx="263">
                  <c:v>22.412723541950918</c:v>
                </c:pt>
                <c:pt idx="264">
                  <c:v>22.221366003537764</c:v>
                </c:pt>
                <c:pt idx="265">
                  <c:v>22.029829029429283</c:v>
                </c:pt>
                <c:pt idx="266">
                  <c:v>21.83812922238846</c:v>
                </c:pt>
                <c:pt idx="267">
                  <c:v>21.646282925050592</c:v>
                </c:pt>
                <c:pt idx="268">
                  <c:v>21.454306244811278</c:v>
                </c:pt>
                <c:pt idx="269">
                  <c:v>21.262215078754942</c:v>
                </c:pt>
                <c:pt idx="270">
                  <c:v>21.070025138611985</c:v>
                </c:pt>
                <c:pt idx="271">
                  <c:v>20.877751975738018</c:v>
                </c:pt>
                <c:pt idx="272">
                  <c:v>20.685411006108247</c:v>
                </c:pt>
                <c:pt idx="273">
                  <c:v>20.493017535322785</c:v>
                </c:pt>
                <c:pt idx="274">
                  <c:v>20.300586783622148</c:v>
                </c:pt>
                <c:pt idx="275">
                  <c:v>20.108133910910478</c:v>
                </c:pt>
                <c:pt idx="276">
                  <c:v>19.91567404178836</c:v>
                </c:pt>
                <c:pt idx="277">
                  <c:v>19.72322229059515</c:v>
                </c:pt>
                <c:pt idx="278">
                  <c:v>19.530793786463327</c:v>
                </c:pt>
                <c:pt idx="279">
                  <c:v>19.33840369838649</c:v>
                </c:pt>
                <c:pt idx="280">
                  <c:v>19.146067260302566</c:v>
                </c:pt>
                <c:pt idx="281">
                  <c:v>18.953799796194094</c:v>
                </c:pt>
                <c:pt idx="282">
                  <c:v>18.761616745205952</c:v>
                </c:pt>
                <c:pt idx="283">
                  <c:v>18.569533686780819</c:v>
                </c:pt>
                <c:pt idx="284">
                  <c:v>18.377566365810392</c:v>
                </c:pt>
                <c:pt idx="285">
                  <c:v>18.185730717799856</c:v>
                </c:pt>
                <c:pt idx="286">
                  <c:v>17.994042894040557</c:v>
                </c:pt>
                <c:pt idx="287">
                  <c:v>17.802519286783614</c:v>
                </c:pt>
                <c:pt idx="288">
                  <c:v>17.611176554405368</c:v>
                </c:pt>
                <c:pt idx="289">
                  <c:v>17.420031646552051</c:v>
                </c:pt>
                <c:pt idx="290">
                  <c:v>17.229101829247941</c:v>
                </c:pt>
                <c:pt idx="291">
                  <c:v>17.038404709948445</c:v>
                </c:pt>
                <c:pt idx="292">
                  <c:v>16.847958262514645</c:v>
                </c:pt>
                <c:pt idx="293">
                  <c:v>16.657780852082954</c:v>
                </c:pt>
                <c:pt idx="294">
                  <c:v>16.467891259797149</c:v>
                </c:pt>
                <c:pt idx="295">
                  <c:v>16.278308707367245</c:v>
                </c:pt>
                <c:pt idx="296">
                  <c:v>16.089052881412648</c:v>
                </c:pt>
                <c:pt idx="297">
                  <c:v>15.900143957542694</c:v>
                </c:pt>
                <c:pt idx="298">
                  <c:v>15.711602624119783</c:v>
                </c:pt>
                <c:pt idx="299">
                  <c:v>15.523450105646852</c:v>
                </c:pt>
                <c:pt idx="300">
                  <c:v>15.335708185711239</c:v>
                </c:pt>
                <c:pt idx="301">
                  <c:v>15.148399229411389</c:v>
                </c:pt>
                <c:pt idx="302">
                  <c:v>14.961546205186139</c:v>
                </c:pt>
                <c:pt idx="303">
                  <c:v>14.775172705956731</c:v>
                </c:pt>
                <c:pt idx="304">
                  <c:v>14.589302969485331</c:v>
                </c:pt>
                <c:pt idx="305">
                  <c:v>14.403961897845416</c:v>
                </c:pt>
                <c:pt idx="306">
                  <c:v>14.219175075890387</c:v>
                </c:pt>
                <c:pt idx="307">
                  <c:v>14.034968788598718</c:v>
                </c:pt>
                <c:pt idx="308">
                  <c:v>13.851370037165969</c:v>
                </c:pt>
                <c:pt idx="309">
                  <c:v>13.668406553704163</c:v>
                </c:pt>
                <c:pt idx="310">
                  <c:v>13.486106814401902</c:v>
                </c:pt>
                <c:pt idx="311">
                  <c:v>13.3045000509897</c:v>
                </c:pt>
                <c:pt idx="312">
                  <c:v>13.123616260346985</c:v>
                </c:pt>
                <c:pt idx="313">
                  <c:v>12.943486212080128</c:v>
                </c:pt>
                <c:pt idx="314">
                  <c:v>12.764141453893812</c:v>
                </c:pt>
                <c:pt idx="315">
                  <c:v>12.585614314571183</c:v>
                </c:pt>
                <c:pt idx="316">
                  <c:v>12.407937904373981</c:v>
                </c:pt>
                <c:pt idx="317">
                  <c:v>12.231146112668512</c:v>
                </c:pt>
                <c:pt idx="318">
                  <c:v>12.055273602580341</c:v>
                </c:pt>
                <c:pt idx="319">
                  <c:v>11.880355802479613</c:v>
                </c:pt>
                <c:pt idx="320">
                  <c:v>11.70642889409779</c:v>
                </c:pt>
                <c:pt idx="321">
                  <c:v>11.533529797078874</c:v>
                </c:pt>
                <c:pt idx="322">
                  <c:v>11.361696149772216</c:v>
                </c:pt>
                <c:pt idx="323">
                  <c:v>11.190966286079302</c:v>
                </c:pt>
                <c:pt idx="324">
                  <c:v>11.021379208175293</c:v>
                </c:pt>
                <c:pt idx="325">
                  <c:v>10.852974554939456</c:v>
                </c:pt>
                <c:pt idx="326">
                  <c:v>10.685792565938696</c:v>
                </c:pt>
                <c:pt idx="327">
                  <c:v>10.519874040829221</c:v>
                </c:pt>
                <c:pt idx="328">
                  <c:v>10.355260294059699</c:v>
                </c:pt>
                <c:pt idx="329">
                  <c:v>10.191993104782034</c:v>
                </c:pt>
                <c:pt idx="330">
                  <c:v>10.030114661906318</c:v>
                </c:pt>
                <c:pt idx="331">
                  <c:v>9.8696675042618871</c:v>
                </c:pt>
                <c:pt idx="332">
                  <c:v>9.71069445586466</c:v>
                </c:pt>
                <c:pt idx="333">
                  <c:v>9.5532385563253648</c:v>
                </c:pt>
                <c:pt idx="334">
                  <c:v>9.397342986475115</c:v>
                </c:pt>
                <c:pt idx="335">
                  <c:v>9.243050989327017</c:v>
                </c:pt>
                <c:pt idx="336">
                  <c:v>9.0904057865401171</c:v>
                </c:pt>
                <c:pt idx="337">
                  <c:v>8.9394504905992314</c:v>
                </c:pt>
                <c:pt idx="338">
                  <c:v>8.7902280129752892</c:v>
                </c:pt>
                <c:pt idx="339">
                  <c:v>8.642780968583601</c:v>
                </c:pt>
                <c:pt idx="340">
                  <c:v>8.4971515769092569</c:v>
                </c:pt>
                <c:pt idx="341">
                  <c:v>8.3533815602223491</c:v>
                </c:pt>
                <c:pt idx="342">
                  <c:v>8.2115120393590662</c:v>
                </c:pt>
                <c:pt idx="343">
                  <c:v>8.0715834275949518</c:v>
                </c:pt>
                <c:pt idx="344">
                  <c:v>7.9336353231861949</c:v>
                </c:pt>
                <c:pt idx="345">
                  <c:v>7.7977064012013724</c:v>
                </c:pt>
                <c:pt idx="346">
                  <c:v>7.6638343053069127</c:v>
                </c:pt>
                <c:pt idx="347">
                  <c:v>7.5320555402086997</c:v>
                </c:pt>
                <c:pt idx="348">
                  <c:v>7.4024053654810409</c:v>
                </c:pt>
                <c:pt idx="349">
                  <c:v>7.2749176915418365</c:v>
                </c:pt>
                <c:pt idx="350">
                  <c:v>7.1496249785484958</c:v>
                </c:pt>
                <c:pt idx="351">
                  <c:v>7.0265581389985243</c:v>
                </c:pt>
                <c:pt idx="352">
                  <c:v>6.9057464448206254</c:v>
                </c:pt>
                <c:pt idx="353">
                  <c:v>6.7872174397320864</c:v>
                </c:pt>
                <c:pt idx="354">
                  <c:v>6.670996857620918</c:v>
                </c:pt>
                <c:pt idx="355">
                  <c:v>6.557108547684293</c:v>
                </c:pt>
                <c:pt idx="356">
                  <c:v>6.4455744070160126</c:v>
                </c:pt>
                <c:pt idx="357">
                  <c:v>6.3364143212905883</c:v>
                </c:pt>
                <c:pt idx="358">
                  <c:v>6.2296461141351687</c:v>
                </c:pt>
                <c:pt idx="359">
                  <c:v>6.1252855057167066</c:v>
                </c:pt>
                <c:pt idx="360">
                  <c:v>6.0233460809998141</c:v>
                </c:pt>
                <c:pt idx="361">
                  <c:v>5.923839268053098</c:v>
                </c:pt>
                <c:pt idx="362">
                  <c:v>5.8267743266967473</c:v>
                </c:pt>
                <c:pt idx="363">
                  <c:v>5.7321583476964442</c:v>
                </c:pt>
                <c:pt idx="364">
                  <c:v>5.6399962626165294</c:v>
                </c:pt>
                <c:pt idx="365">
                  <c:v>5.5502908643526041</c:v>
                </c:pt>
                <c:pt idx="366">
                  <c:v>5.4630428382695237</c:v>
                </c:pt>
                <c:pt idx="367">
                  <c:v>5.3782508037775631</c:v>
                </c:pt>
                <c:pt idx="368">
                  <c:v>5.2959113660912021</c:v>
                </c:pt>
                <c:pt idx="369">
                  <c:v>5.2160191778268512</c:v>
                </c:pt>
                <c:pt idx="370">
                  <c:v>5.1385670100144631</c:v>
                </c:pt>
                <c:pt idx="371">
                  <c:v>5.0635458320242943</c:v>
                </c:pt>
                <c:pt idx="372">
                  <c:v>4.9909448998407493</c:v>
                </c:pt>
                <c:pt idx="373">
                  <c:v>4.9207518520546358</c:v>
                </c:pt>
                <c:pt idx="374">
                  <c:v>4.8529528128952313</c:v>
                </c:pt>
                <c:pt idx="375">
                  <c:v>4.7875325015796015</c:v>
                </c:pt>
                <c:pt idx="376">
                  <c:v>4.7244743472233743</c:v>
                </c:pt>
                <c:pt idx="377">
                  <c:v>4.6637606085342815</c:v>
                </c:pt>
                <c:pt idx="378">
                  <c:v>4.6053724974934127</c:v>
                </c:pt>
                <c:pt idx="379">
                  <c:v>4.5492903062252568</c:v>
                </c:pt>
                <c:pt idx="380">
                  <c:v>4.4954935362590218</c:v>
                </c:pt>
                <c:pt idx="381">
                  <c:v>4.4439610293950267</c:v>
                </c:pt>
                <c:pt idx="382">
                  <c:v>4.3946710994082476</c:v>
                </c:pt>
                <c:pt idx="383">
                  <c:v>4.3476016638456212</c:v>
                </c:pt>
                <c:pt idx="384">
                  <c:v>4.3027303752038062</c:v>
                </c:pt>
                <c:pt idx="385">
                  <c:v>4.2600347508101573</c:v>
                </c:pt>
                <c:pt idx="386">
                  <c:v>4.2194923007674987</c:v>
                </c:pt>
                <c:pt idx="387">
                  <c:v>4.1810806533665081</c:v>
                </c:pt>
                <c:pt idx="388">
                  <c:v>4.1447776774134981</c:v>
                </c:pt>
                <c:pt idx="389">
                  <c:v>4.1105616009663244</c:v>
                </c:pt>
                <c:pt idx="390">
                  <c:v>4.0784111260182074</c:v>
                </c:pt>
                <c:pt idx="391">
                  <c:v>4.0483055387129934</c:v>
                </c:pt>
                <c:pt idx="392">
                  <c:v>4.0202248147230542</c:v>
                </c:pt>
                <c:pt idx="393">
                  <c:v>3.9941497194615581</c:v>
                </c:pt>
                <c:pt idx="394">
                  <c:v>3.9700619028419664</c:v>
                </c:pt>
                <c:pt idx="395">
                  <c:v>3.947943988339631</c:v>
                </c:pt>
                <c:pt idx="396">
                  <c:v>3.9277796561419249</c:v>
                </c:pt>
                <c:pt idx="397">
                  <c:v>3.9095537202086765</c:v>
                </c:pt>
                <c:pt idx="398">
                  <c:v>3.893252199094257</c:v>
                </c:pt>
                <c:pt idx="399">
                  <c:v>3.8788623804086653</c:v>
                </c:pt>
                <c:pt idx="400">
                  <c:v>3.8663728788182601</c:v>
                </c:pt>
                <c:pt idx="401">
                  <c:v>3.8557736875068582</c:v>
                </c:pt>
                <c:pt idx="402">
                  <c:v>3.8470562230361445</c:v>
                </c:pt>
                <c:pt idx="403">
                  <c:v>3.8402133635568076</c:v>
                </c:pt>
                <c:pt idx="404">
                  <c:v>3.8352394803352157</c:v>
                </c:pt>
                <c:pt idx="405">
                  <c:v>3.8321304625695483</c:v>
                </c:pt>
                <c:pt idx="406">
                  <c:v>3.8308837354767289</c:v>
                </c:pt>
                <c:pt idx="407">
                  <c:v>3.8314982716388175</c:v>
                </c:pt>
                <c:pt idx="408">
                  <c:v>3.8339745956001865</c:v>
                </c:pt>
                <c:pt idx="409">
                  <c:v>3.8383147817147107</c:v>
                </c:pt>
                <c:pt idx="410">
                  <c:v>3.8445224452428288</c:v>
                </c:pt>
                <c:pt idx="411">
                  <c:v>3.8526027267056824</c:v>
                </c:pt>
                <c:pt idx="412">
                  <c:v>3.8625622695044011</c:v>
                </c:pt>
                <c:pt idx="413">
                  <c:v>3.8744091908238087</c:v>
                </c:pt>
                <c:pt idx="414">
                  <c:v>3.8881530458413009</c:v>
                </c:pt>
                <c:pt idx="415">
                  <c:v>3.9038047852746498</c:v>
                </c:pt>
                <c:pt idx="416">
                  <c:v>3.9213767063113081</c:v>
                </c:pt>
                <c:pt idx="417">
                  <c:v>3.9408823969769795</c:v>
                </c:pt>
                <c:pt idx="418">
                  <c:v>3.9623366740150106</c:v>
                </c:pt>
                <c:pt idx="419">
                  <c:v>3.9857555143696199</c:v>
                </c:pt>
                <c:pt idx="420">
                  <c:v>4.0111559803872314</c:v>
                </c:pt>
                <c:pt idx="421">
                  <c:v>4.0385561388746023</c:v>
                </c:pt>
                <c:pt idx="422">
                  <c:v>4.0679749741826159</c:v>
                </c:pt>
                <c:pt idx="423">
                  <c:v>4.0994322955158751</c:v>
                </c:pt>
                <c:pt idx="424">
                  <c:v>4.1329486387019774</c:v>
                </c:pt>
                <c:pt idx="425">
                  <c:v>4.1685451626941807</c:v>
                </c:pt>
                <c:pt idx="426">
                  <c:v>4.2062435411198438</c:v>
                </c:pt>
                <c:pt idx="427">
                  <c:v>4.2460658492295646</c:v>
                </c:pt>
                <c:pt idx="428">
                  <c:v>4.2880344466479485</c:v>
                </c:pt>
                <c:pt idx="429">
                  <c:v>4.3321718563699063</c:v>
                </c:pt>
                <c:pt idx="430">
                  <c:v>4.3785006404941305</c:v>
                </c:pt>
                <c:pt idx="431">
                  <c:v>4.4270432732305878</c:v>
                </c:pt>
                <c:pt idx="432">
                  <c:v>4.4778220117630365</c:v>
                </c:pt>
                <c:pt idx="433">
                  <c:v>4.5308587655922317</c:v>
                </c:pt>
                <c:pt idx="434">
                  <c:v>4.5861749650233206</c:v>
                </c:pt>
                <c:pt idx="435">
                  <c:v>4.6437914294999807</c:v>
                </c:pt>
                <c:pt idx="436">
                  <c:v>4.7037282365185309</c:v>
                </c:pt>
                <c:pt idx="437">
                  <c:v>4.7660045918828295</c:v>
                </c:pt>
                <c:pt idx="438">
                  <c:v>4.8306387020803667</c:v>
                </c:pt>
                <c:pt idx="439">
                  <c:v>4.8976476495748376</c:v>
                </c:pt>
                <c:pt idx="440">
                  <c:v>4.9670472718143674</c:v>
                </c:pt>
                <c:pt idx="441">
                  <c:v>5.0388520447545107</c:v>
                </c:pt>
                <c:pt idx="442">
                  <c:v>5.1130749716795592</c:v>
                </c:pt>
                <c:pt idx="443">
                  <c:v>5.1897274780904841</c:v>
                </c:pt>
                <c:pt idx="444">
                  <c:v>5.2688193133918375</c:v>
                </c:pt>
                <c:pt idx="445">
                  <c:v>5.3503584600762801</c:v>
                </c:pt>
                <c:pt idx="446">
                  <c:v>5.4343510510520678</c:v>
                </c:pt>
                <c:pt idx="447">
                  <c:v>5.5208012957052883</c:v>
                </c:pt>
                <c:pt idx="448">
                  <c:v>5.609711415220672</c:v>
                </c:pt>
                <c:pt idx="449">
                  <c:v>5.701081587614004</c:v>
                </c:pt>
                <c:pt idx="450">
                  <c:v>5.7949099028480529</c:v>
                </c:pt>
                <c:pt idx="451">
                  <c:v>5.8911923283206837</c:v>
                </c:pt>
                <c:pt idx="452">
                  <c:v>5.9899226849240437</c:v>
                </c:pt>
                <c:pt idx="453">
                  <c:v>6.0910926337813995</c:v>
                </c:pt>
                <c:pt idx="454">
                  <c:v>6.1946916736763917</c:v>
                </c:pt>
                <c:pt idx="455">
                  <c:v>6.3007071490941442</c:v>
                </c:pt>
                <c:pt idx="456">
                  <c:v>6.4091242687012571</c:v>
                </c:pt>
                <c:pt idx="457">
                  <c:v>6.519926134004348</c:v>
                </c:pt>
                <c:pt idx="458">
                  <c:v>6.6330937778378729</c:v>
                </c:pt>
                <c:pt idx="459">
                  <c:v>6.7486062122540789</c:v>
                </c:pt>
                <c:pt idx="460">
                  <c:v>6.8664404853122853</c:v>
                </c:pt>
                <c:pt idx="461">
                  <c:v>6.9865717461990489</c:v>
                </c:pt>
                <c:pt idx="462">
                  <c:v>7.1089733180505963</c:v>
                </c:pt>
                <c:pt idx="463">
                  <c:v>7.2336167778019647</c:v>
                </c:pt>
                <c:pt idx="464">
                  <c:v>7.3604720423426304</c:v>
                </c:pt>
                <c:pt idx="465">
                  <c:v>7.4895074602318683</c:v>
                </c:pt>
                <c:pt idx="466">
                  <c:v>7.6206899082032589</c:v>
                </c:pt>
                <c:pt idx="467">
                  <c:v>7.7539848916749063</c:v>
                </c:pt>
                <c:pt idx="468">
                  <c:v>7.8893566484832709</c:v>
                </c:pt>
                <c:pt idx="469">
                  <c:v>8.0267682550620059</c:v>
                </c:pt>
                <c:pt idx="470">
                  <c:v>8.1661817343013077</c:v>
                </c:pt>
                <c:pt idx="471">
                  <c:v>8.3075581643490555</c:v>
                </c:pt>
                <c:pt idx="472">
                  <c:v>8.450857787640798</c:v>
                </c:pt>
                <c:pt idx="473">
                  <c:v>8.5960401194829501</c:v>
                </c:pt>
                <c:pt idx="474">
                  <c:v>8.7430640555540275</c:v>
                </c:pt>
                <c:pt idx="475">
                  <c:v>8.8918879777326296</c:v>
                </c:pt>
                <c:pt idx="476">
                  <c:v>9.0424698577099587</c:v>
                </c:pt>
                <c:pt idx="477">
                  <c:v>9.1947673578956461</c:v>
                </c:pt>
                <c:pt idx="478">
                  <c:v>9.3487379291762789</c:v>
                </c:pt>
                <c:pt idx="479">
                  <c:v>9.504338905141541</c:v>
                </c:pt>
                <c:pt idx="480">
                  <c:v>9.6615275924443473</c:v>
                </c:pt>
                <c:pt idx="481">
                  <c:v>9.8202613570142621</c:v>
                </c:pt>
                <c:pt idx="482">
                  <c:v>9.9804977058953988</c:v>
                </c:pt>
                <c:pt idx="483">
                  <c:v>10.142194364528157</c:v>
                </c:pt>
                <c:pt idx="484">
                  <c:v>10.305309349342732</c:v>
                </c:pt>
                <c:pt idx="485">
                  <c:v>10.469801035576204</c:v>
                </c:pt>
                <c:pt idx="486">
                  <c:v>10.635628220266257</c:v>
                </c:pt>
                <c:pt idx="487">
                  <c:v>10.80275018041343</c:v>
                </c:pt>
                <c:pt idx="488">
                  <c:v>10.971126726339476</c:v>
                </c:pt>
                <c:pt idx="489">
                  <c:v>11.140718250299491</c:v>
                </c:pt>
                <c:pt idx="490">
                  <c:v>11.311485770435471</c:v>
                </c:pt>
                <c:pt idx="491">
                  <c:v>11.483390970182814</c:v>
                </c:pt>
                <c:pt idx="492">
                  <c:v>11.656396233262775</c:v>
                </c:pt>
                <c:pt idx="493">
                  <c:v>11.830464674413321</c:v>
                </c:pt>
                <c:pt idx="494">
                  <c:v>12.005560166023182</c:v>
                </c:pt>
                <c:pt idx="495">
                  <c:v>12.181647360851144</c:v>
                </c:pt>
                <c:pt idx="496">
                  <c:v>12.358691711015883</c:v>
                </c:pt>
                <c:pt idx="497">
                  <c:v>12.53665948345456</c:v>
                </c:pt>
                <c:pt idx="498">
                  <c:v>12.715517772048576</c:v>
                </c:pt>
                <c:pt idx="499">
                  <c:v>12.895234506620818</c:v>
                </c:pt>
                <c:pt idx="500">
                  <c:v>13.075778459006806</c:v>
                </c:pt>
                <c:pt idx="501">
                  <c:v>13.257119246402649</c:v>
                </c:pt>
                <c:pt idx="502">
                  <c:v>13.43922733218988</c:v>
                </c:pt>
                <c:pt idx="503">
                  <c:v>13.622074024433985</c:v>
                </c:pt>
                <c:pt idx="504">
                  <c:v>13.805631472246336</c:v>
                </c:pt>
                <c:pt idx="505">
                  <c:v>13.989872660197392</c:v>
                </c:pt>
                <c:pt idx="506">
                  <c:v>14.174771400958379</c:v>
                </c:pt>
                <c:pt idx="507">
                  <c:v>14.360302326343993</c:v>
                </c:pt>
                <c:pt idx="508">
                  <c:v>14.546440876921372</c:v>
                </c:pt>
                <c:pt idx="509">
                  <c:v>14.733163290339654</c:v>
                </c:pt>
                <c:pt idx="510">
                  <c:v>14.920446588530149</c:v>
                </c:pt>
                <c:pt idx="511">
                  <c:v>15.108268563915942</c:v>
                </c:pt>
                <c:pt idx="512">
                  <c:v>15.296607764762744</c:v>
                </c:pt>
                <c:pt idx="513">
                  <c:v>15.485443479794219</c:v>
                </c:pt>
                <c:pt idx="514">
                  <c:v>15.674755722186411</c:v>
                </c:pt>
                <c:pt idx="515">
                  <c:v>15.864525213048211</c:v>
                </c:pt>
                <c:pt idx="516">
                  <c:v>16.054733364487149</c:v>
                </c:pt>
                <c:pt idx="517">
                  <c:v>16.245362262351904</c:v>
                </c:pt>
                <c:pt idx="518">
                  <c:v>16.436394648734911</c:v>
                </c:pt>
                <c:pt idx="519">
                  <c:v>16.627813904312799</c:v>
                </c:pt>
                <c:pt idx="520">
                  <c:v>16.819604030594711</c:v>
                </c:pt>
                <c:pt idx="521">
                  <c:v>17.01174963214218</c:v>
                </c:pt>
                <c:pt idx="522">
                  <c:v>17.204235898818261</c:v>
                </c:pt>
                <c:pt idx="523">
                  <c:v>17.397048588118409</c:v>
                </c:pt>
                <c:pt idx="524">
                  <c:v>17.590174007629528</c:v>
                </c:pt>
                <c:pt idx="525">
                  <c:v>17.78359899765826</c:v>
                </c:pt>
                <c:pt idx="526">
                  <c:v>17.977310914066138</c:v>
                </c:pt>
                <c:pt idx="527">
                  <c:v>18.17129761134364</c:v>
                </c:pt>
                <c:pt idx="528">
                  <c:v>18.365547425951355</c:v>
                </c:pt>
                <c:pt idx="529">
                  <c:v>18.560049159953458</c:v>
                </c:pt>
                <c:pt idx="530">
                  <c:v>18.75479206496323</c:v>
                </c:pt>
                <c:pt idx="531">
                  <c:v>18.949765826420094</c:v>
                </c:pt>
                <c:pt idx="532">
                  <c:v>19.144960548211095</c:v>
                </c:pt>
                <c:pt idx="533">
                  <c:v>19.340366737651223</c:v>
                </c:pt>
                <c:pt idx="534">
                  <c:v>19.535975290829981</c:v>
                </c:pt>
                <c:pt idx="535">
                  <c:v>19.731777478332784</c:v>
                </c:pt>
                <c:pt idx="536">
                  <c:v>19.927764931342519</c:v>
                </c:pt>
                <c:pt idx="537">
                  <c:v>20.12392962812438</c:v>
                </c:pt>
                <c:pt idx="538">
                  <c:v>20.320263880896007</c:v>
                </c:pt>
                <c:pt idx="539">
                  <c:v>20.516760323083222</c:v>
                </c:pt>
                <c:pt idx="540">
                  <c:v>20.713411896960132</c:v>
                </c:pt>
                <c:pt idx="541">
                  <c:v>20.910211841672066</c:v>
                </c:pt>
              </c:numCache>
            </c:numRef>
          </c:yVal>
          <c:smooth val="1"/>
          <c:extLst>
            <c:ext xmlns:c16="http://schemas.microsoft.com/office/drawing/2014/chart" uri="{C3380CC4-5D6E-409C-BE32-E72D297353CC}">
              <c16:uniqueId val="{00000000-F7C0-4EEE-87E3-EE720F12A204}"/>
            </c:ext>
          </c:extLst>
        </c:ser>
        <c:dLbls>
          <c:showLegendKey val="0"/>
          <c:showVal val="0"/>
          <c:showCatName val="0"/>
          <c:showSerName val="0"/>
          <c:showPercent val="0"/>
          <c:showBubbleSize val="0"/>
        </c:dLbls>
        <c:axId val="555304064"/>
        <c:axId val="55530598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-0.71508603412795335</c:v>
                </c:pt>
                <c:pt idx="1">
                  <c:v>-0.73174064491636881</c:v>
                </c:pt>
                <c:pt idx="2">
                  <c:v>-0.74878305679583113</c:v>
                </c:pt>
                <c:pt idx="3">
                  <c:v>-0.76622229318784629</c:v>
                </c:pt>
                <c:pt idx="4">
                  <c:v>-0.78406758700822277</c:v>
                </c:pt>
                <c:pt idx="5">
                  <c:v>-0.80232838549763041</c:v>
                </c:pt>
                <c:pt idx="6">
                  <c:v>-0.82101435516118293</c:v>
                </c:pt>
                <c:pt idx="7">
                  <c:v>-0.84013538681927846</c:v>
                </c:pt>
                <c:pt idx="8">
                  <c:v>-0.85970160077210289</c:v>
                </c:pt>
                <c:pt idx="9">
                  <c:v>-0.87972335208004981</c:v>
                </c:pt>
                <c:pt idx="10">
                  <c:v>-0.90021123596260189</c:v>
                </c:pt>
                <c:pt idx="11">
                  <c:v>-0.92117609331789174</c:v>
                </c:pt>
                <c:pt idx="12">
                  <c:v>-0.94262901636560747</c:v>
                </c:pt>
                <c:pt idx="13">
                  <c:v>-0.96458135441559645</c:v>
                </c:pt>
                <c:pt idx="14">
                  <c:v>-0.98704471976477504</c:v>
                </c:pt>
                <c:pt idx="15">
                  <c:v>-1.0100309937248362</c:v>
                </c:pt>
                <c:pt idx="16">
                  <c:v>-1.033552332783378</c:v>
                </c:pt>
                <c:pt idx="17">
                  <c:v>-1.05762117490102</c:v>
                </c:pt>
                <c:pt idx="18">
                  <c:v>-1.0822502459472001</c:v>
                </c:pt>
                <c:pt idx="19">
                  <c:v>-1.1074525662772445</c:v>
                </c:pt>
                <c:pt idx="20">
                  <c:v>-1.1332414574534693</c:v>
                </c:pt>
                <c:pt idx="21">
                  <c:v>-1.1596305491128844</c:v>
                </c:pt>
                <c:pt idx="22">
                  <c:v>-1.1866337859843645</c:v>
                </c:pt>
                <c:pt idx="23">
                  <c:v>-1.2142654350578954</c:v>
                </c:pt>
                <c:pt idx="24">
                  <c:v>-1.2425400929086927</c:v>
                </c:pt>
                <c:pt idx="25">
                  <c:v>-1.2714726931789266</c:v>
                </c:pt>
                <c:pt idx="26">
                  <c:v>-1.3010785142197643</c:v>
                </c:pt>
                <c:pt idx="27">
                  <c:v>-1.3313731868965388</c:v>
                </c:pt>
                <c:pt idx="28">
                  <c:v>-1.362372702559689</c:v>
                </c:pt>
                <c:pt idx="29">
                  <c:v>-1.3940934211843257</c:v>
                </c:pt>
                <c:pt idx="30">
                  <c:v>-1.4265520796809927</c:v>
                </c:pt>
                <c:pt idx="31">
                  <c:v>-1.4597658003804073</c:v>
                </c:pt>
                <c:pt idx="32">
                  <c:v>-1.4937520996948064</c:v>
                </c:pt>
                <c:pt idx="33">
                  <c:v>-1.5285288969585147</c:v>
                </c:pt>
                <c:pt idx="34">
                  <c:v>-1.5641145234502578</c:v>
                </c:pt>
                <c:pt idx="35">
                  <c:v>-1.6005277315999022</c:v>
                </c:pt>
                <c:pt idx="36">
                  <c:v>-1.6377877043819005</c:v>
                </c:pt>
                <c:pt idx="37">
                  <c:v>-1.6759140648978785</c:v>
                </c:pt>
                <c:pt idx="38">
                  <c:v>-1.7149268861507871</c:v>
                </c:pt>
                <c:pt idx="39">
                  <c:v>-1.7548467010126831</c:v>
                </c:pt>
                <c:pt idx="40">
                  <c:v>-1.7956945123882253</c:v>
                </c:pt>
                <c:pt idx="41">
                  <c:v>-1.8374918035761181</c:v>
                </c:pt>
                <c:pt idx="42">
                  <c:v>-1.8802605488299939</c:v>
                </c:pt>
                <c:pt idx="43">
                  <c:v>-1.9240232241206785</c:v>
                </c:pt>
                <c:pt idx="44">
                  <c:v>-1.9688028181013568</c:v>
                </c:pt>
                <c:pt idx="45">
                  <c:v>-2.0146228432768005</c:v>
                </c:pt>
                <c:pt idx="46">
                  <c:v>-2.0615073473780421</c:v>
                </c:pt>
                <c:pt idx="47">
                  <c:v>-2.1094809249431945</c:v>
                </c:pt>
                <c:pt idx="48">
                  <c:v>-2.158568729105192</c:v>
                </c:pt>
                <c:pt idx="49">
                  <c:v>-2.208796483586855</c:v>
                </c:pt>
                <c:pt idx="50">
                  <c:v>-2.2601904949032239</c:v>
                </c:pt>
                <c:pt idx="51">
                  <c:v>-2.3127776647711524</c:v>
                </c:pt>
                <c:pt idx="52">
                  <c:v>-2.3665855027252358</c:v>
                </c:pt>
                <c:pt idx="53">
                  <c:v>-2.4216421389395446</c:v>
                </c:pt>
                <c:pt idx="54">
                  <c:v>-2.477976337253148</c:v>
                </c:pt>
                <c:pt idx="55">
                  <c:v>-2.5356175083981385</c:v>
                </c:pt>
                <c:pt idx="56">
                  <c:v>-2.5945957234273331</c:v>
                </c:pt>
                <c:pt idx="57">
                  <c:v>-2.6549417273390188</c:v>
                </c:pt>
                <c:pt idx="58">
                  <c:v>-2.7166869528949515</c:v>
                </c:pt>
                <c:pt idx="59">
                  <c:v>-2.7798635346276996</c:v>
                </c:pt>
                <c:pt idx="60">
                  <c:v>-2.8445043230323126</c:v>
                </c:pt>
                <c:pt idx="61">
                  <c:v>-2.9106428989367576</c:v>
                </c:pt>
                <c:pt idx="62">
                  <c:v>-2.9783135880446872</c:v>
                </c:pt>
                <c:pt idx="63">
                  <c:v>-3.0475514756433415</c:v>
                </c:pt>
                <c:pt idx="64">
                  <c:v>-3.1183924214682142</c:v>
                </c:pt>
                <c:pt idx="65">
                  <c:v>-3.1908730747153728</c:v>
                </c:pt>
                <c:pt idx="66">
                  <c:v>-3.2650308891909732</c:v>
                </c:pt>
                <c:pt idx="67">
                  <c:v>-3.340904138586648</c:v>
                </c:pt>
                <c:pt idx="68">
                  <c:v>-3.4185319318678458</c:v>
                </c:pt>
                <c:pt idx="69">
                  <c:v>-3.4979542287609759</c:v>
                </c:pt>
                <c:pt idx="70">
                  <c:v>-3.5792118553240235</c:v>
                </c:pt>
                <c:pt idx="71">
                  <c:v>-3.6623465195832852</c:v>
                </c:pt>
                <c:pt idx="72">
                  <c:v>-3.7474008272174002</c:v>
                </c:pt>
                <c:pt idx="73">
                  <c:v>-3.8344182972684258</c:v>
                </c:pt>
                <c:pt idx="74">
                  <c:v>-3.9234433778569509</c:v>
                </c:pt>
                <c:pt idx="75">
                  <c:v>-4.0145214618771918</c:v>
                </c:pt>
                <c:pt idx="76">
                  <c:v>-4.1076989026449544</c:v>
                </c:pt>
                <c:pt idx="77">
                  <c:v>-4.2030230294696143</c:v>
                </c:pt>
                <c:pt idx="78">
                  <c:v>-4.3005421631185037</c:v>
                </c:pt>
                <c:pt idx="79">
                  <c:v>-4.4003056311392799</c:v>
                </c:pt>
                <c:pt idx="80">
                  <c:v>-4.5023637830035623</c:v>
                </c:pt>
                <c:pt idx="81">
                  <c:v>-4.6067680050313156</c:v>
                </c:pt>
                <c:pt idx="82">
                  <c:v>-4.7135707350529241</c:v>
                </c:pt>
                <c:pt idx="83">
                  <c:v>-4.8228254767622092</c:v>
                </c:pt>
                <c:pt idx="84">
                  <c:v>-4.934586813709827</c:v>
                </c:pt>
                <c:pt idx="85">
                  <c:v>-5.0489104228828241</c:v>
                </c:pt>
                <c:pt idx="86">
                  <c:v>-5.1658530878122555</c:v>
                </c:pt>
                <c:pt idx="87">
                  <c:v>-5.2854727111455464</c:v>
                </c:pt>
                <c:pt idx="88">
                  <c:v>-5.4078283266170137</c:v>
                </c:pt>
                <c:pt idx="89">
                  <c:v>-5.5329801103435816</c:v>
                </c:pt>
                <c:pt idx="90">
                  <c:v>-5.6609893913689611</c:v>
                </c:pt>
                <c:pt idx="91">
                  <c:v>-5.791918661372919</c:v>
                </c:pt>
                <c:pt idx="92">
                  <c:v>-5.92583158345741</c:v>
                </c:pt>
                <c:pt idx="93">
                  <c:v>-6.0627929999145689</c:v>
                </c:pt>
                <c:pt idx="94">
                  <c:v>-6.2028689388761835</c:v>
                </c:pt>
                <c:pt idx="95">
                  <c:v>-6.3461266197357507</c:v>
                </c:pt>
                <c:pt idx="96">
                  <c:v>-6.4926344572293297</c:v>
                </c:pt>
                <c:pt idx="97">
                  <c:v>-6.6424620640526344</c:v>
                </c:pt>
                <c:pt idx="98">
                  <c:v>-6.7956802518842929</c:v>
                </c:pt>
                <c:pt idx="99">
                  <c:v>-6.9523610306770314</c:v>
                </c:pt>
                <c:pt idx="100">
                  <c:v>-7.1125776060707206</c:v>
                </c:pt>
                <c:pt idx="101">
                  <c:v>-7.2764043747718476</c:v>
                </c:pt>
                <c:pt idx="102">
                  <c:v>-7.4439169177344313</c:v>
                </c:pt>
                <c:pt idx="103">
                  <c:v>-7.615191990969131</c:v>
                </c:pt>
                <c:pt idx="104">
                  <c:v>-7.7903075137963462</c:v>
                </c:pt>
                <c:pt idx="105">
                  <c:v>-7.9693425543493577</c:v>
                </c:pt>
                <c:pt idx="106">
                  <c:v>-8.1523773121231251</c:v>
                </c:pt>
                <c:pt idx="107">
                  <c:v>-8.3394930973538184</c:v>
                </c:pt>
                <c:pt idx="108">
                  <c:v>-8.5307723070026853</c:v>
                </c:pt>
                <c:pt idx="109">
                  <c:v>-8.7262983971074579</c:v>
                </c:pt>
                <c:pt idx="110">
                  <c:v>-8.926155851251707</c:v>
                </c:pt>
                <c:pt idx="111">
                  <c:v>-9.1304301448937082</c:v>
                </c:pt>
                <c:pt idx="112">
                  <c:v>-9.3392077052812912</c:v>
                </c:pt>
                <c:pt idx="113">
                  <c:v>-9.5525758666712761</c:v>
                </c:pt>
                <c:pt idx="114">
                  <c:v>-9.7706228205579766</c:v>
                </c:pt>
                <c:pt idx="115">
                  <c:v>-9.9934375606055799</c:v>
                </c:pt>
                <c:pt idx="116">
                  <c:v>-10.221109821967707</c:v>
                </c:pt>
                <c:pt idx="117">
                  <c:v>-10.453730014666741</c:v>
                </c:pt>
                <c:pt idx="118">
                  <c:v>-10.691389150696896</c:v>
                </c:pt>
                <c:pt idx="119">
                  <c:v>-10.934178764503091</c:v>
                </c:pt>
                <c:pt idx="120">
                  <c:v>-11.18219082648308</c:v>
                </c:pt>
                <c:pt idx="121">
                  <c:v>-11.435517649149267</c:v>
                </c:pt>
                <c:pt idx="122">
                  <c:v>-11.694251785582592</c:v>
                </c:pt>
                <c:pt idx="123">
                  <c:v>-11.958485919807083</c:v>
                </c:pt>
                <c:pt idx="124">
                  <c:v>-12.228312748708246</c:v>
                </c:pt>
                <c:pt idx="125">
                  <c:v>-12.50382485511909</c:v>
                </c:pt>
                <c:pt idx="126">
                  <c:v>-12.785114571701664</c:v>
                </c:pt>
                <c:pt idx="127">
                  <c:v>-13.072273835249206</c:v>
                </c:pt>
                <c:pt idx="128">
                  <c:v>-13.365394031048377</c:v>
                </c:pt>
                <c:pt idx="129">
                  <c:v>-13.664565826948646</c:v>
                </c:pt>
                <c:pt idx="130">
                  <c:v>-13.96987899679509</c:v>
                </c:pt>
                <c:pt idx="131">
                  <c:v>-14.281422232908948</c:v>
                </c:pt>
                <c:pt idx="132">
                  <c:v>-14.599282947311735</c:v>
                </c:pt>
                <c:pt idx="133">
                  <c:v>-14.923547061424525</c:v>
                </c:pt>
                <c:pt idx="134">
                  <c:v>-15.254298784000834</c:v>
                </c:pt>
                <c:pt idx="135">
                  <c:v>-15.591620377094117</c:v>
                </c:pt>
                <c:pt idx="136">
                  <c:v>-15.935591909901921</c:v>
                </c:pt>
                <c:pt idx="137">
                  <c:v>-16.286291000382068</c:v>
                </c:pt>
                <c:pt idx="138">
                  <c:v>-16.643792544593619</c:v>
                </c:pt>
                <c:pt idx="139">
                  <c:v>-17.008168433780735</c:v>
                </c:pt>
                <c:pt idx="140">
                  <c:v>-17.379487259290315</c:v>
                </c:pt>
                <c:pt idx="141">
                  <c:v>-17.757814005497845</c:v>
                </c:pt>
                <c:pt idx="142">
                  <c:v>-18.143209731001583</c:v>
                </c:pt>
                <c:pt idx="143">
                  <c:v>-18.535731238447347</c:v>
                </c:pt>
                <c:pt idx="144">
                  <c:v>-18.935430733451152</c:v>
                </c:pt>
                <c:pt idx="145">
                  <c:v>-19.342355473201412</c:v>
                </c:pt>
                <c:pt idx="146">
                  <c:v>-19.75654740544806</c:v>
                </c:pt>
                <c:pt idx="147">
                  <c:v>-20.178042798717716</c:v>
                </c:pt>
                <c:pt idx="148">
                  <c:v>-20.606871864732604</c:v>
                </c:pt>
                <c:pt idx="149">
                  <c:v>-21.043058374160371</c:v>
                </c:pt>
                <c:pt idx="150">
                  <c:v>-21.486619266973996</c:v>
                </c:pt>
                <c:pt idx="151">
                  <c:v>-21.937564258861382</c:v>
                </c:pt>
                <c:pt idx="152">
                  <c:v>-22.395895445286722</c:v>
                </c:pt>
                <c:pt idx="153">
                  <c:v>-22.861606904975847</c:v>
                </c:pt>
                <c:pt idx="154">
                  <c:v>-23.334684304759495</c:v>
                </c:pt>
                <c:pt idx="155">
                  <c:v>-23.815104507882946</c:v>
                </c:pt>
                <c:pt idx="156">
                  <c:v>-24.302835188050583</c:v>
                </c:pt>
                <c:pt idx="157">
                  <c:v>-24.797834451635634</c:v>
                </c:pt>
                <c:pt idx="158">
                  <c:v>-25.300050470636336</c:v>
                </c:pt>
                <c:pt idx="159">
                  <c:v>-25.809421129101462</c:v>
                </c:pt>
                <c:pt idx="160">
                  <c:v>-26.325873685877664</c:v>
                </c:pt>
                <c:pt idx="161">
                  <c:v>-26.849324456639426</c:v>
                </c:pt>
                <c:pt idx="162">
                  <c:v>-27.379678518255769</c:v>
                </c:pt>
                <c:pt idx="163">
                  <c:v>-27.916829438616112</c:v>
                </c:pt>
                <c:pt idx="164">
                  <c:v>-28.460659035077605</c:v>
                </c:pt>
                <c:pt idx="165">
                  <c:v>-29.011037164708146</c:v>
                </c:pt>
                <c:pt idx="166">
                  <c:v>-29.567821549479341</c:v>
                </c:pt>
                <c:pt idx="167">
                  <c:v>-30.130857639504633</c:v>
                </c:pt>
                <c:pt idx="168">
                  <c:v>-30.699978517322972</c:v>
                </c:pt>
                <c:pt idx="169">
                  <c:v>-31.275004846091885</c:v>
                </c:pt>
                <c:pt idx="170">
                  <c:v>-31.85574486437806</c:v>
                </c:pt>
                <c:pt idx="171">
                  <c:v>-32.441994430006915</c:v>
                </c:pt>
                <c:pt idx="172">
                  <c:v>-33.033537115174255</c:v>
                </c:pt>
                <c:pt idx="173">
                  <c:v>-33.630144354711945</c:v>
                </c:pt>
                <c:pt idx="174">
                  <c:v>-34.23157564904912</c:v>
                </c:pt>
                <c:pt idx="175">
                  <c:v>-34.837578823025623</c:v>
                </c:pt>
                <c:pt idx="176">
                  <c:v>-35.447890341283525</c:v>
                </c:pt>
                <c:pt idx="177">
                  <c:v>-36.062235680509502</c:v>
                </c:pt>
                <c:pt idx="178">
                  <c:v>-36.680329758310961</c:v>
                </c:pt>
                <c:pt idx="179">
                  <c:v>-37.301877418002434</c:v>
                </c:pt>
                <c:pt idx="180">
                  <c:v>-37.926573968054811</c:v>
                </c:pt>
                <c:pt idx="181">
                  <c:v>-38.554105774427725</c:v>
                </c:pt>
                <c:pt idx="182">
                  <c:v>-39.184150903471966</c:v>
                </c:pt>
                <c:pt idx="183">
                  <c:v>-39.81637981256295</c:v>
                </c:pt>
                <c:pt idx="184">
                  <c:v>-40.450456085118013</c:v>
                </c:pt>
                <c:pt idx="185">
                  <c:v>-41.08603720616059</c:v>
                </c:pt>
                <c:pt idx="186">
                  <c:v>-41.722775374145456</c:v>
                </c:pt>
                <c:pt idx="187">
                  <c:v>-42.360318344341998</c:v>
                </c:pt>
                <c:pt idx="188">
                  <c:v>-42.998310298709548</c:v>
                </c:pt>
                <c:pt idx="189">
                  <c:v>-43.636392736886997</c:v>
                </c:pt>
                <c:pt idx="190">
                  <c:v>-44.274205382668661</c:v>
                </c:pt>
                <c:pt idx="191">
                  <c:v>-44.911387100151977</c:v>
                </c:pt>
                <c:pt idx="192">
                  <c:v>-45.547576813626044</c:v>
                </c:pt>
                <c:pt idx="193">
                  <c:v>-46.182414425223129</c:v>
                </c:pt>
                <c:pt idx="194">
                  <c:v>-46.815541724384033</c:v>
                </c:pt>
                <c:pt idx="195">
                  <c:v>-47.446603283273866</c:v>
                </c:pt>
                <c:pt idx="196">
                  <c:v>-48.075247332469218</c:v>
                </c:pt>
                <c:pt idx="197">
                  <c:v>-48.701126611449361</c:v>
                </c:pt>
                <c:pt idx="198">
                  <c:v>-49.323899188730117</c:v>
                </c:pt>
                <c:pt idx="199">
                  <c:v>-49.943229246830022</c:v>
                </c:pt>
                <c:pt idx="200">
                  <c:v>-50.558787827646938</c:v>
                </c:pt>
                <c:pt idx="201">
                  <c:v>-51.170253534279794</c:v>
                </c:pt>
                <c:pt idx="202">
                  <c:v>-51.777313185796928</c:v>
                </c:pt>
                <c:pt idx="203">
                  <c:v>-52.379662421959821</c:v>
                </c:pt>
                <c:pt idx="204">
                  <c:v>-52.977006255437118</c:v>
                </c:pt>
                <c:pt idx="205">
                  <c:v>-53.569059569566399</c:v>
                </c:pt>
                <c:pt idx="206">
                  <c:v>-54.155547560264267</c:v>
                </c:pt>
                <c:pt idx="207">
                  <c:v>-54.736206121206145</c:v>
                </c:pt>
                <c:pt idx="208">
                  <c:v>-55.310782171911569</c:v>
                </c:pt>
                <c:pt idx="209">
                  <c:v>-55.879033928868331</c:v>
                </c:pt>
                <c:pt idx="210">
                  <c:v>-56.440731120288561</c:v>
                </c:pt>
                <c:pt idx="211">
                  <c:v>-56.995655145531416</c:v>
                </c:pt>
                <c:pt idx="212">
                  <c:v>-57.543599180625712</c:v>
                </c:pt>
                <c:pt idx="213">
                  <c:v>-58.084368231685986</c:v>
                </c:pt>
                <c:pt idx="214">
                  <c:v>-58.617779138335784</c:v>
                </c:pt>
                <c:pt idx="215">
                  <c:v>-59.143660529532688</c:v>
                </c:pt>
                <c:pt idx="216">
                  <c:v>-59.661852734419639</c:v>
                </c:pt>
                <c:pt idx="217">
                  <c:v>-60.172207651019463</c:v>
                </c:pt>
                <c:pt idx="218">
                  <c:v>-60.674588575739712</c:v>
                </c:pt>
                <c:pt idx="219">
                  <c:v>-61.168869996761224</c:v>
                </c:pt>
                <c:pt idx="220">
                  <c:v>-61.654937354450198</c:v>
                </c:pt>
                <c:pt idx="221">
                  <c:v>-62.132686771970697</c:v>
                </c:pt>
                <c:pt idx="222">
                  <c:v>-62.602024759266108</c:v>
                </c:pt>
                <c:pt idx="223">
                  <c:v>-63.062867893551825</c:v>
                </c:pt>
                <c:pt idx="224">
                  <c:v>-63.515142479397035</c:v>
                </c:pt>
                <c:pt idx="225">
                  <c:v>-63.958784191389171</c:v>
                </c:pt>
                <c:pt idx="226">
                  <c:v>-64.393737702274464</c:v>
                </c:pt>
                <c:pt idx="227">
                  <c:v>-64.819956299335615</c:v>
                </c:pt>
                <c:pt idx="228">
                  <c:v>-65.237401491639943</c:v>
                </c:pt>
                <c:pt idx="229">
                  <c:v>-65.646042610638489</c:v>
                </c:pt>
                <c:pt idx="230">
                  <c:v>-66.045856406436769</c:v>
                </c:pt>
                <c:pt idx="231">
                  <c:v>-66.436826641900467</c:v>
                </c:pt>
                <c:pt idx="232">
                  <c:v>-66.818943686589009</c:v>
                </c:pt>
                <c:pt idx="233">
                  <c:v>-67.192204112344712</c:v>
                </c:pt>
                <c:pt idx="234">
                  <c:v>-67.556610292198101</c:v>
                </c:pt>
                <c:pt idx="235">
                  <c:v>-67.912170004084388</c:v>
                </c:pt>
                <c:pt idx="236">
                  <c:v>-68.258896040710781</c:v>
                </c:pt>
                <c:pt idx="237">
                  <c:v>-68.596805826753695</c:v>
                </c:pt>
                <c:pt idx="238">
                  <c:v>-68.925921044422864</c:v>
                </c:pt>
                <c:pt idx="239">
                  <c:v>-69.246267268282196</c:v>
                </c:pt>
                <c:pt idx="240">
                  <c:v>-69.557873610089885</c:v>
                </c:pt>
                <c:pt idx="241">
                  <c:v>-69.86077237429086</c:v>
                </c:pt>
                <c:pt idx="242">
                  <c:v>-70.154998724680382</c:v>
                </c:pt>
                <c:pt idx="243">
                  <c:v>-70.440590362648692</c:v>
                </c:pt>
                <c:pt idx="244">
                  <c:v>-70.717587217319519</c:v>
                </c:pt>
                <c:pt idx="245">
                  <c:v>-70.986031147801953</c:v>
                </c:pt>
                <c:pt idx="246">
                  <c:v>-71.245965657696317</c:v>
                </c:pt>
                <c:pt idx="247">
                  <c:v>-71.49743562191891</c:v>
                </c:pt>
                <c:pt idx="248">
                  <c:v>-71.740487025846306</c:v>
                </c:pt>
                <c:pt idx="249">
                  <c:v>-71.97516671672156</c:v>
                </c:pt>
                <c:pt idx="250">
                  <c:v>-72.201522167214151</c:v>
                </c:pt>
                <c:pt idx="251">
                  <c:v>-72.419601250981316</c:v>
                </c:pt>
                <c:pt idx="252">
                  <c:v>-72.629452030041193</c:v>
                </c:pt>
                <c:pt idx="253">
                  <c:v>-72.831122553739917</c:v>
                </c:pt>
                <c:pt idx="254">
                  <c:v>-73.024660669062214</c:v>
                </c:pt>
                <c:pt idx="255">
                  <c:v>-73.210113842023929</c:v>
                </c:pt>
                <c:pt idx="256">
                  <c:v>-73.38752898986057</c:v>
                </c:pt>
                <c:pt idx="257">
                  <c:v>-73.556952323722214</c:v>
                </c:pt>
                <c:pt idx="258">
                  <c:v>-73.718429201571567</c:v>
                </c:pt>
                <c:pt idx="259">
                  <c:v>-73.87200399098279</c:v>
                </c:pt>
                <c:pt idx="260">
                  <c:v>-74.017719941537351</c:v>
                </c:pt>
                <c:pt idx="261">
                  <c:v>-74.155619066514461</c:v>
                </c:pt>
                <c:pt idx="262">
                  <c:v>-74.285742033580206</c:v>
                </c:pt>
                <c:pt idx="263">
                  <c:v>-74.408128064187892</c:v>
                </c:pt>
                <c:pt idx="264">
                  <c:v>-74.522814841410877</c:v>
                </c:pt>
                <c:pt idx="265">
                  <c:v>-74.629838425939127</c:v>
                </c:pt>
                <c:pt idx="266">
                  <c:v>-74.729233179990217</c:v>
                </c:pt>
                <c:pt idx="267">
                  <c:v>-74.821031698891701</c:v>
                </c:pt>
                <c:pt idx="268">
                  <c:v>-74.905264750115364</c:v>
                </c:pt>
                <c:pt idx="269">
                  <c:v>-74.981961219557377</c:v>
                </c:pt>
                <c:pt idx="270">
                  <c:v>-75.051148064874724</c:v>
                </c:pt>
                <c:pt idx="271">
                  <c:v>-75.112850275714067</c:v>
                </c:pt>
                <c:pt idx="272">
                  <c:v>-75.167090840679293</c:v>
                </c:pt>
                <c:pt idx="273">
                  <c:v>-75.213890720913042</c:v>
                </c:pt>
                <c:pt idx="274">
                  <c:v>-75.253268830181767</c:v>
                </c:pt>
                <c:pt idx="275">
                  <c:v>-75.285242021378338</c:v>
                </c:pt>
                <c:pt idx="276">
                  <c:v>-75.309825079376893</c:v>
                </c:pt>
                <c:pt idx="277">
                  <c:v>-75.327030720194344</c:v>
                </c:pt>
                <c:pt idx="278">
                  <c:v>-75.336869596437907</c:v>
                </c:pt>
                <c:pt idx="279">
                  <c:v>-75.339350309036988</c:v>
                </c:pt>
                <c:pt idx="280">
                  <c:v>-75.334479425280023</c:v>
                </c:pt>
                <c:pt idx="281">
                  <c:v>-75.322261503200338</c:v>
                </c:pt>
                <c:pt idx="282">
                  <c:v>-75.302699122374577</c:v>
                </c:pt>
                <c:pt idx="283">
                  <c:v>-75.275792921219448</c:v>
                </c:pt>
                <c:pt idx="284">
                  <c:v>-75.241541640893658</c:v>
                </c:pt>
                <c:pt idx="285">
                  <c:v>-75.199942175933103</c:v>
                </c:pt>
                <c:pt idx="286">
                  <c:v>-75.150989631766961</c:v>
                </c:pt>
                <c:pt idx="287">
                  <c:v>-75.0946773892815</c:v>
                </c:pt>
                <c:pt idx="288">
                  <c:v>-75.030997176619863</c:v>
                </c:pt>
                <c:pt idx="289">
                  <c:v>-74.959939148421668</c:v>
                </c:pt>
                <c:pt idx="290">
                  <c:v>-74.881491972725101</c:v>
                </c:pt>
                <c:pt idx="291">
                  <c:v>-74.79564292577129</c:v>
                </c:pt>
                <c:pt idx="292">
                  <c:v>-74.702377994963257</c:v>
                </c:pt>
                <c:pt idx="293">
                  <c:v>-74.601681990248679</c:v>
                </c:pt>
                <c:pt idx="294">
                  <c:v>-74.493538664205758</c:v>
                </c:pt>
                <c:pt idx="295">
                  <c:v>-74.377930841122534</c:v>
                </c:pt>
                <c:pt idx="296">
                  <c:v>-74.254840555368503</c:v>
                </c:pt>
                <c:pt idx="297">
                  <c:v>-74.124249199362595</c:v>
                </c:pt>
                <c:pt idx="298">
                  <c:v>-73.986137681446223</c:v>
                </c:pt>
                <c:pt idx="299">
                  <c:v>-73.840486593970098</c:v>
                </c:pt>
                <c:pt idx="300">
                  <c:v>-73.687276391899715</c:v>
                </c:pt>
                <c:pt idx="301">
                  <c:v>-73.526487582241955</c:v>
                </c:pt>
                <c:pt idx="302">
                  <c:v>-73.358100924579375</c:v>
                </c:pt>
                <c:pt idx="303">
                  <c:v>-73.182097642989561</c:v>
                </c:pt>
                <c:pt idx="304">
                  <c:v>-72.998459649606843</c:v>
                </c:pt>
                <c:pt idx="305">
                  <c:v>-72.807169780056512</c:v>
                </c:pt>
                <c:pt idx="306">
                  <c:v>-72.608212040965554</c:v>
                </c:pt>
                <c:pt idx="307">
                  <c:v>-72.401571869717088</c:v>
                </c:pt>
                <c:pt idx="308">
                  <c:v>-72.187236406573646</c:v>
                </c:pt>
                <c:pt idx="309">
                  <c:v>-71.965194779245621</c:v>
                </c:pt>
                <c:pt idx="310">
                  <c:v>-71.735438399925215</c:v>
                </c:pt>
                <c:pt idx="311">
                  <c:v>-71.497961274745066</c:v>
                </c:pt>
                <c:pt idx="312">
                  <c:v>-71.252760325544642</c:v>
                </c:pt>
                <c:pt idx="313">
                  <c:v>-70.999835723751715</c:v>
                </c:pt>
                <c:pt idx="314">
                  <c:v>-70.739191236098847</c:v>
                </c:pt>
                <c:pt idx="315">
                  <c:v>-70.470834581793653</c:v>
                </c:pt>
                <c:pt idx="316">
                  <c:v>-70.194777800659324</c:v>
                </c:pt>
                <c:pt idx="317">
                  <c:v>-69.911037631648412</c:v>
                </c:pt>
                <c:pt idx="318">
                  <c:v>-69.619635901006831</c:v>
                </c:pt>
                <c:pt idx="319">
                  <c:v>-69.320599919236685</c:v>
                </c:pt>
                <c:pt idx="320">
                  <c:v>-69.013962885863592</c:v>
                </c:pt>
                <c:pt idx="321">
                  <c:v>-68.699764300873085</c:v>
                </c:pt>
                <c:pt idx="322">
                  <c:v>-68.378050381521007</c:v>
                </c:pt>
                <c:pt idx="323">
                  <c:v>-68.048874483067166</c:v>
                </c:pt>
                <c:pt idx="324">
                  <c:v>-67.712297521817007</c:v>
                </c:pt>
                <c:pt idx="325">
                  <c:v>-67.368388398691138</c:v>
                </c:pt>
                <c:pt idx="326">
                  <c:v>-67.017224421368809</c:v>
                </c:pt>
                <c:pt idx="327">
                  <c:v>-66.658891722891553</c:v>
                </c:pt>
                <c:pt idx="328">
                  <c:v>-66.293485674438585</c:v>
                </c:pt>
                <c:pt idx="329">
                  <c:v>-65.92111128983386</c:v>
                </c:pt>
                <c:pt idx="330">
                  <c:v>-65.541883619187772</c:v>
                </c:pt>
                <c:pt idx="331">
                  <c:v>-65.155928128928153</c:v>
                </c:pt>
                <c:pt idx="332">
                  <c:v>-64.763381065361969</c:v>
                </c:pt>
                <c:pt idx="333">
                  <c:v>-64.36438979877434</c:v>
                </c:pt>
                <c:pt idx="334">
                  <c:v>-63.959113144999918</c:v>
                </c:pt>
                <c:pt idx="335">
                  <c:v>-63.547721661315258</c:v>
                </c:pt>
                <c:pt idx="336">
                  <c:v>-63.130397913469153</c:v>
                </c:pt>
                <c:pt idx="337">
                  <c:v>-62.70733671064248</c:v>
                </c:pt>
                <c:pt idx="338">
                  <c:v>-62.278745305161365</c:v>
                </c:pt>
                <c:pt idx="339">
                  <c:v>-61.844843553828156</c:v>
                </c:pt>
                <c:pt idx="340">
                  <c:v>-61.405864037838263</c:v>
                </c:pt>
                <c:pt idx="341">
                  <c:v>-60.962052138375896</c:v>
                </c:pt>
                <c:pt idx="342">
                  <c:v>-60.513666065161559</c:v>
                </c:pt>
                <c:pt idx="343">
                  <c:v>-60.06097683543986</c:v>
                </c:pt>
                <c:pt idx="344">
                  <c:v>-59.604268201153772</c:v>
                </c:pt>
                <c:pt idx="345">
                  <c:v>-59.143836522362342</c:v>
                </c:pt>
                <c:pt idx="346">
                  <c:v>-58.679990585293595</c:v>
                </c:pt>
                <c:pt idx="347">
                  <c:v>-58.213051363821023</c:v>
                </c:pt>
                <c:pt idx="348">
                  <c:v>-57.743351723561169</c:v>
                </c:pt>
                <c:pt idx="349">
                  <c:v>-57.27123606825014</c:v>
                </c:pt>
                <c:pt idx="350">
                  <c:v>-56.79705992853512</c:v>
                </c:pt>
                <c:pt idx="351">
                  <c:v>-56.321189493820661</c:v>
                </c:pt>
                <c:pt idx="352">
                  <c:v>-55.844001088326955</c:v>
                </c:pt>
                <c:pt idx="353">
                  <c:v>-55.365880593044679</c:v>
                </c:pt>
                <c:pt idx="354">
                  <c:v>-54.887222815793798</c:v>
                </c:pt>
                <c:pt idx="355">
                  <c:v>-54.408430812123797</c:v>
                </c:pt>
                <c:pt idx="356">
                  <c:v>-53.929915160282903</c:v>
                </c:pt>
                <c:pt idx="357">
                  <c:v>-53.452093193971919</c:v>
                </c:pt>
                <c:pt idx="358">
                  <c:v>-52.975388197046684</c:v>
                </c:pt>
                <c:pt idx="359">
                  <c:v>-52.500228564728964</c:v>
                </c:pt>
                <c:pt idx="360">
                  <c:v>-52.027046936255857</c:v>
                </c:pt>
                <c:pt idx="361">
                  <c:v>-51.556279304193289</c:v>
                </c:pt>
                <c:pt idx="362">
                  <c:v>-51.088364105884466</c:v>
                </c:pt>
                <c:pt idx="363">
                  <c:v>-50.623741302681474</c:v>
                </c:pt>
                <c:pt idx="364">
                  <c:v>-50.162851452719053</c:v>
                </c:pt>
                <c:pt idx="365">
                  <c:v>-49.706134783021547</c:v>
                </c:pt>
                <c:pt idx="366">
                  <c:v>-49.254030266706465</c:v>
                </c:pt>
                <c:pt idx="367">
                  <c:v>-48.806974710941432</c:v>
                </c:pt>
                <c:pt idx="368">
                  <c:v>-48.365401861127317</c:v>
                </c:pt>
                <c:pt idx="369">
                  <c:v>-47.929741526549236</c:v>
                </c:pt>
                <c:pt idx="370">
                  <c:v>-47.500418732431442</c:v>
                </c:pt>
                <c:pt idx="371">
                  <c:v>-47.077852902963137</c:v>
                </c:pt>
                <c:pt idx="372">
                  <c:v>-46.662457079460189</c:v>
                </c:pt>
                <c:pt idx="373">
                  <c:v>-46.254637177374356</c:v>
                </c:pt>
                <c:pt idx="374">
                  <c:v>-45.854791285367675</c:v>
                </c:pt>
                <c:pt idx="375">
                  <c:v>-45.463309009157435</c:v>
                </c:pt>
                <c:pt idx="376">
                  <c:v>-45.080570862309095</c:v>
                </c:pt>
                <c:pt idx="377">
                  <c:v>-44.706947705601465</c:v>
                </c:pt>
                <c:pt idx="378">
                  <c:v>-44.34280023605794</c:v>
                </c:pt>
                <c:pt idx="379">
                  <c:v>-43.988478526184366</c:v>
                </c:pt>
                <c:pt idx="380">
                  <c:v>-43.644321613448</c:v>
                </c:pt>
                <c:pt idx="381">
                  <c:v>-43.310657139517232</c:v>
                </c:pt>
                <c:pt idx="382">
                  <c:v>-42.987801038313513</c:v>
                </c:pt>
                <c:pt idx="383">
                  <c:v>-42.676057271484524</c:v>
                </c:pt>
                <c:pt idx="384">
                  <c:v>-42.375717609493719</c:v>
                </c:pt>
                <c:pt idx="385">
                  <c:v>-42.087061456174411</c:v>
                </c:pt>
                <c:pt idx="386">
                  <c:v>-41.810355714255323</c:v>
                </c:pt>
                <c:pt idx="387">
                  <c:v>-41.545854689099144</c:v>
                </c:pt>
                <c:pt idx="388">
                  <c:v>-41.293800027663764</c:v>
                </c:pt>
                <c:pt idx="389">
                  <c:v>-41.054420689505115</c:v>
                </c:pt>
                <c:pt idx="390">
                  <c:v>-40.827932946514629</c:v>
                </c:pt>
                <c:pt idx="391">
                  <c:v>-40.614540407969763</c:v>
                </c:pt>
                <c:pt idx="392">
                  <c:v>-40.414434067450955</c:v>
                </c:pt>
                <c:pt idx="393">
                  <c:v>-40.227792368139319</c:v>
                </c:pt>
                <c:pt idx="394">
                  <c:v>-40.054781283068237</c:v>
                </c:pt>
                <c:pt idx="395">
                  <c:v>-39.895554406938558</c:v>
                </c:pt>
                <c:pt idx="396">
                  <c:v>-39.750253056228381</c:v>
                </c:pt>
                <c:pt idx="397">
                  <c:v>-39.619006374441362</c:v>
                </c:pt>
                <c:pt idx="398">
                  <c:v>-39.50193143950176</c:v>
                </c:pt>
                <c:pt idx="399">
                  <c:v>-39.399133370483845</c:v>
                </c:pt>
                <c:pt idx="400">
                  <c:v>-39.310705431061805</c:v>
                </c:pt>
                <c:pt idx="401">
                  <c:v>-39.236729127298275</c:v>
                </c:pt>
                <c:pt idx="402">
                  <c:v>-39.177274297615028</c:v>
                </c:pt>
                <c:pt idx="403">
                  <c:v>-39.132399193052798</c:v>
                </c:pt>
                <c:pt idx="404">
                  <c:v>-39.102150546188852</c:v>
                </c:pt>
                <c:pt idx="405">
                  <c:v>-39.086563627350785</c:v>
                </c:pt>
                <c:pt idx="406">
                  <c:v>-39.085662287055158</c:v>
                </c:pt>
                <c:pt idx="407">
                  <c:v>-39.099458983882357</c:v>
                </c:pt>
                <c:pt idx="408">
                  <c:v>-39.127954797293789</c:v>
                </c:pt>
                <c:pt idx="409">
                  <c:v>-39.171139425192365</c:v>
                </c:pt>
                <c:pt idx="410">
                  <c:v>-39.228991166326196</c:v>
                </c:pt>
                <c:pt idx="411">
                  <c:v>-39.301476887924274</c:v>
                </c:pt>
                <c:pt idx="412">
                  <c:v>-39.388551979258139</c:v>
                </c:pt>
                <c:pt idx="413">
                  <c:v>-39.490160292101088</c:v>
                </c:pt>
                <c:pt idx="414">
                  <c:v>-39.606234069350805</c:v>
                </c:pt>
                <c:pt idx="415">
                  <c:v>-39.736693863353786</c:v>
                </c:pt>
                <c:pt idx="416">
                  <c:v>-39.881448445740233</c:v>
                </c:pt>
                <c:pt idx="417">
                  <c:v>-40.040394710835052</c:v>
                </c:pt>
                <c:pt idx="418">
                  <c:v>-40.213417574952842</c:v>
                </c:pt>
                <c:pt idx="419">
                  <c:v>-40.400389874115184</c:v>
                </c:pt>
                <c:pt idx="420">
                  <c:v>-40.601172262938519</c:v>
                </c:pt>
                <c:pt idx="421">
                  <c:v>-40.815613117625681</c:v>
                </c:pt>
                <c:pt idx="422">
                  <c:v>-41.04354844616546</c:v>
                </c:pt>
                <c:pt idx="423">
                  <c:v>-41.284801808977207</c:v>
                </c:pt>
                <c:pt idx="424">
                  <c:v>-41.53918425335381</c:v>
                </c:pt>
                <c:pt idx="425">
                  <c:v>-41.806494265121245</c:v>
                </c:pt>
                <c:pt idx="426">
                  <c:v>-42.086517740992669</c:v>
                </c:pt>
                <c:pt idx="427">
                  <c:v>-42.379027985080263</c:v>
                </c:pt>
                <c:pt idx="428">
                  <c:v>-42.683785732999581</c:v>
                </c:pt>
                <c:pt idx="429">
                  <c:v>-43.000539206934853</c:v>
                </c:pt>
                <c:pt idx="430">
                  <c:v>-43.329024204876823</c:v>
                </c:pt>
                <c:pt idx="431">
                  <c:v>-43.668964227118472</c:v>
                </c:pt>
                <c:pt idx="432">
                  <c:v>-44.020070642846278</c:v>
                </c:pt>
                <c:pt idx="433">
                  <c:v>-44.382042899421613</c:v>
                </c:pt>
                <c:pt idx="434">
                  <c:v>-44.754568776630457</c:v>
                </c:pt>
                <c:pt idx="435">
                  <c:v>-45.137324687840525</c:v>
                </c:pt>
                <c:pt idx="436">
                  <c:v>-45.529976029604342</c:v>
                </c:pt>
                <c:pt idx="437">
                  <c:v>-45.932177580818511</c:v>
                </c:pt>
                <c:pt idx="438">
                  <c:v>-46.34357395208955</c:v>
                </c:pt>
                <c:pt idx="439">
                  <c:v>-46.763800085462371</c:v>
                </c:pt>
                <c:pt idx="440">
                  <c:v>-47.192481804143185</c:v>
                </c:pt>
                <c:pt idx="441">
                  <c:v>-47.629236411332073</c:v>
                </c:pt>
                <c:pt idx="442">
                  <c:v>-48.073673336720049</c:v>
                </c:pt>
                <c:pt idx="443">
                  <c:v>-48.525394828674287</c:v>
                </c:pt>
                <c:pt idx="444">
                  <c:v>-48.983996689591031</c:v>
                </c:pt>
                <c:pt idx="445">
                  <c:v>-49.449069051377812</c:v>
                </c:pt>
                <c:pt idx="446">
                  <c:v>-49.920197187526249</c:v>
                </c:pt>
                <c:pt idx="447">
                  <c:v>-50.396962357765169</c:v>
                </c:pt>
                <c:pt idx="448">
                  <c:v>-50.878942680872306</c:v>
                </c:pt>
                <c:pt idx="449">
                  <c:v>-51.365714030823952</c:v>
                </c:pt>
                <c:pt idx="450">
                  <c:v>-51.856850951153767</c:v>
                </c:pt>
                <c:pt idx="451">
                  <c:v>-52.351927582121263</c:v>
                </c:pt>
                <c:pt idx="452">
                  <c:v>-52.850518595089575</c:v>
                </c:pt>
                <c:pt idx="453">
                  <c:v>-53.352200128387459</c:v>
                </c:pt>
                <c:pt idx="454">
                  <c:v>-53.856550718864604</c:v>
                </c:pt>
                <c:pt idx="455">
                  <c:v>-54.363152223369326</c:v>
                </c:pt>
                <c:pt idx="456">
                  <c:v>-54.871590724448758</c:v>
                </c:pt>
                <c:pt idx="457">
                  <c:v>-55.381457414748809</c:v>
                </c:pt>
                <c:pt idx="458">
                  <c:v>-55.892349454781183</c:v>
                </c:pt>
                <c:pt idx="459">
                  <c:v>-56.403870799036106</c:v>
                </c:pt>
                <c:pt idx="460">
                  <c:v>-56.915632985736892</c:v>
                </c:pt>
                <c:pt idx="461">
                  <c:v>-57.427255885942465</c:v>
                </c:pt>
                <c:pt idx="462">
                  <c:v>-57.938368408115664</c:v>
                </c:pt>
                <c:pt idx="463">
                  <c:v>-58.448609154764249</c:v>
                </c:pt>
                <c:pt idx="464">
                  <c:v>-58.957627028247337</c:v>
                </c:pt>
                <c:pt idx="465">
                  <c:v>-59.46508178334944</c:v>
                </c:pt>
                <c:pt idx="466">
                  <c:v>-59.970644524768929</c:v>
                </c:pt>
                <c:pt idx="467">
                  <c:v>-60.473998148171013</c:v>
                </c:pt>
                <c:pt idx="468">
                  <c:v>-60.974837723996089</c:v>
                </c:pt>
                <c:pt idx="469">
                  <c:v>-61.472870823715603</c:v>
                </c:pt>
                <c:pt idx="470">
                  <c:v>-61.967817788712736</c:v>
                </c:pt>
                <c:pt idx="471">
                  <c:v>-62.459411942440532</c:v>
                </c:pt>
                <c:pt idx="472">
                  <c:v>-62.947399746926131</c:v>
                </c:pt>
                <c:pt idx="473">
                  <c:v>-63.431540905104342</c:v>
                </c:pt>
                <c:pt idx="474">
                  <c:v>-63.911608410810025</c:v>
                </c:pt>
                <c:pt idx="475">
                  <c:v>-64.387388548580788</c:v>
                </c:pt>
                <c:pt idx="476">
                  <c:v>-64.858680845699411</c:v>
                </c:pt>
                <c:pt idx="477">
                  <c:v>-65.32529797913665</c:v>
                </c:pt>
                <c:pt idx="478">
                  <c:v>-65.787065640240471</c:v>
                </c:pt>
                <c:pt idx="479">
                  <c:v>-66.243822360171777</c:v>
                </c:pt>
                <c:pt idx="480">
                  <c:v>-66.695419299184508</c:v>
                </c:pt>
                <c:pt idx="481">
                  <c:v>-67.141720002926036</c:v>
                </c:pt>
                <c:pt idx="482">
                  <c:v>-67.582600128951626</c:v>
                </c:pt>
                <c:pt idx="483">
                  <c:v>-68.017947146655445</c:v>
                </c:pt>
                <c:pt idx="484">
                  <c:v>-68.447660013776272</c:v>
                </c:pt>
                <c:pt idx="485">
                  <c:v>-68.871648832586075</c:v>
                </c:pt>
                <c:pt idx="486">
                  <c:v>-69.289834488770325</c:v>
                </c:pt>
                <c:pt idx="487">
                  <c:v>-69.702148275915974</c:v>
                </c:pt>
                <c:pt idx="488">
                  <c:v>-70.108531508386903</c:v>
                </c:pt>
                <c:pt idx="489">
                  <c:v>-70.508935125235737</c:v>
                </c:pt>
                <c:pt idx="490">
                  <c:v>-70.903319287649609</c:v>
                </c:pt>
                <c:pt idx="491">
                  <c:v>-71.291652972261161</c:v>
                </c:pt>
                <c:pt idx="492">
                  <c:v>-71.673913562504382</c:v>
                </c:pt>
                <c:pt idx="493">
                  <c:v>-72.05008644001515</c:v>
                </c:pt>
                <c:pt idx="494">
                  <c:v>-72.42016457791523</c:v>
                </c:pt>
                <c:pt idx="495">
                  <c:v>-72.784148137642632</c:v>
                </c:pt>
                <c:pt idx="496">
                  <c:v>-73.142044070835937</c:v>
                </c:pt>
                <c:pt idx="497">
                  <c:v>-73.493865727605922</c:v>
                </c:pt>
                <c:pt idx="498">
                  <c:v>-73.839632472380714</c:v>
                </c:pt>
                <c:pt idx="499">
                  <c:v>-74.179369308357877</c:v>
                </c:pt>
                <c:pt idx="500">
                  <c:v>-74.513106511449308</c:v>
                </c:pt>
                <c:pt idx="501">
                  <c:v>-74.840879274477629</c:v>
                </c:pt>
                <c:pt idx="502">
                  <c:v>-75.162727362246471</c:v>
                </c:pt>
                <c:pt idx="503">
                  <c:v>-75.478694777995813</c:v>
                </c:pt>
                <c:pt idx="504">
                  <c:v>-75.788829441639095</c:v>
                </c:pt>
                <c:pt idx="505">
                  <c:v>-76.09318288007745</c:v>
                </c:pt>
                <c:pt idx="506">
                  <c:v>-76.391809929796224</c:v>
                </c:pt>
                <c:pt idx="507">
                  <c:v>-76.684768451861871</c:v>
                </c:pt>
                <c:pt idx="508">
                  <c:v>-76.972119059362214</c:v>
                </c:pt>
                <c:pt idx="509">
                  <c:v>-77.253924857263854</c:v>
                </c:pt>
                <c:pt idx="510">
                  <c:v>-77.530251194601149</c:v>
                </c:pt>
                <c:pt idx="511">
                  <c:v>-77.801165428856294</c:v>
                </c:pt>
                <c:pt idx="512">
                  <c:v>-78.066736702343476</c:v>
                </c:pt>
                <c:pt idx="513">
                  <c:v>-78.327035730369545</c:v>
                </c:pt>
                <c:pt idx="514">
                  <c:v>-78.582134600908688</c:v>
                </c:pt>
                <c:pt idx="515">
                  <c:v>-78.832106585500867</c:v>
                </c:pt>
                <c:pt idx="516">
                  <c:v>-79.077025961056577</c:v>
                </c:pt>
                <c:pt idx="517">
                  <c:v>-79.316967842234746</c:v>
                </c:pt>
                <c:pt idx="518">
                  <c:v>-79.552008024042237</c:v>
                </c:pt>
                <c:pt idx="519">
                  <c:v>-79.782222834291844</c:v>
                </c:pt>
                <c:pt idx="520">
                  <c:v>-80.007688995551504</c:v>
                </c:pt>
                <c:pt idx="521">
                  <c:v>-80.228483496206522</c:v>
                </c:pt>
                <c:pt idx="522">
                  <c:v>-80.444683470258198</c:v>
                </c:pt>
                <c:pt idx="523">
                  <c:v>-80.656366085481366</c:v>
                </c:pt>
                <c:pt idx="524">
                  <c:v>-80.863608439565382</c:v>
                </c:pt>
                <c:pt idx="525">
                  <c:v>-81.06648746386594</c:v>
                </c:pt>
                <c:pt idx="526">
                  <c:v>-81.265079834402584</c:v>
                </c:pt>
                <c:pt idx="527">
                  <c:v>-81.459461889742627</c:v>
                </c:pt>
                <c:pt idx="528">
                  <c:v>-81.649709555419136</c:v>
                </c:pt>
                <c:pt idx="529">
                  <c:v>-81.835898274543041</c:v>
                </c:pt>
                <c:pt idx="530">
                  <c:v>-82.018102944273153</c:v>
                </c:pt>
                <c:pt idx="531">
                  <c:v>-82.196397857825673</c:v>
                </c:pt>
                <c:pt idx="532">
                  <c:v>-82.370856651708721</c:v>
                </c:pt>
                <c:pt idx="533">
                  <c:v>-82.541552257882771</c:v>
                </c:pt>
                <c:pt idx="534">
                  <c:v>-82.708556860557806</c:v>
                </c:pt>
                <c:pt idx="535">
                  <c:v>-82.871941857349285</c:v>
                </c:pt>
                <c:pt idx="536">
                  <c:v>-83.031777824526529</c:v>
                </c:pt>
                <c:pt idx="537">
                  <c:v>-83.18813448609977</c:v>
                </c:pt>
                <c:pt idx="538">
                  <c:v>-83.341080686501954</c:v>
                </c:pt>
                <c:pt idx="539">
                  <c:v>-83.490684366633019</c:v>
                </c:pt>
                <c:pt idx="540">
                  <c:v>-83.637012543046708</c:v>
                </c:pt>
                <c:pt idx="541">
                  <c:v>-83.780131290068951</c:v>
                </c:pt>
              </c:numCache>
            </c:numRef>
          </c:yVal>
          <c:smooth val="1"/>
          <c:extLst>
            <c:ext xmlns:c16="http://schemas.microsoft.com/office/drawing/2014/chart" uri="{C3380CC4-5D6E-409C-BE32-E72D297353CC}">
              <c16:uniqueId val="{00000001-F7C0-4EEE-87E3-EE720F12A204}"/>
            </c:ext>
          </c:extLst>
        </c:ser>
        <c:dLbls>
          <c:showLegendKey val="0"/>
          <c:showVal val="0"/>
          <c:showCatName val="0"/>
          <c:showSerName val="0"/>
          <c:showPercent val="0"/>
          <c:showBubbleSize val="0"/>
        </c:dLbls>
        <c:axId val="555313792"/>
        <c:axId val="555312256"/>
      </c:scatterChart>
      <c:valAx>
        <c:axId val="5553040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05984"/>
        <c:crosses val="autoZero"/>
        <c:crossBetween val="midCat"/>
      </c:valAx>
      <c:valAx>
        <c:axId val="5553059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304064"/>
        <c:crosses val="autoZero"/>
        <c:crossBetween val="midCat"/>
        <c:majorUnit val="20"/>
        <c:minorUnit val="10"/>
      </c:valAx>
      <c:valAx>
        <c:axId val="555312256"/>
        <c:scaling>
          <c:orientation val="minMax"/>
          <c:max val="180"/>
          <c:min val="-180"/>
        </c:scaling>
        <c:delete val="0"/>
        <c:axPos val="r"/>
        <c:numFmt formatCode="General" sourceLinked="1"/>
        <c:majorTickMark val="out"/>
        <c:minorTickMark val="none"/>
        <c:tickLblPos val="nextTo"/>
        <c:crossAx val="555313792"/>
        <c:crosses val="max"/>
        <c:crossBetween val="midCat"/>
        <c:majorUnit val="90"/>
        <c:minorUnit val="45"/>
      </c:valAx>
      <c:valAx>
        <c:axId val="555313792"/>
        <c:scaling>
          <c:logBase val="10"/>
          <c:orientation val="minMax"/>
        </c:scaling>
        <c:delete val="1"/>
        <c:axPos val="b"/>
        <c:numFmt formatCode="0.00" sourceLinked="1"/>
        <c:majorTickMark val="out"/>
        <c:minorTickMark val="none"/>
        <c:tickLblPos val="nextTo"/>
        <c:crossAx val="55531225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74.825582998075163</c:v>
                </c:pt>
                <c:pt idx="1">
                  <c:v>74.625561322359161</c:v>
                </c:pt>
                <c:pt idx="2">
                  <c:v>74.425538625334923</c:v>
                </c:pt>
                <c:pt idx="3">
                  <c:v>74.225514858892438</c:v>
                </c:pt>
                <c:pt idx="4">
                  <c:v>74.025489972656658</c:v>
                </c:pt>
                <c:pt idx="5">
                  <c:v>73.825463913880768</c:v>
                </c:pt>
                <c:pt idx="6">
                  <c:v>73.625436627334821</c:v>
                </c:pt>
                <c:pt idx="7">
                  <c:v>73.42540805518874</c:v>
                </c:pt>
                <c:pt idx="8">
                  <c:v>73.225378136890271</c:v>
                </c:pt>
                <c:pt idx="9">
                  <c:v>73.025346809036876</c:v>
                </c:pt>
                <c:pt idx="10">
                  <c:v>72.825314005241736</c:v>
                </c:pt>
                <c:pt idx="11">
                  <c:v>72.62527965599368</c:v>
                </c:pt>
                <c:pt idx="12">
                  <c:v>72.425243688509937</c:v>
                </c:pt>
                <c:pt idx="13">
                  <c:v>72.225206026582796</c:v>
                </c:pt>
                <c:pt idx="14">
                  <c:v>72.025166590418479</c:v>
                </c:pt>
                <c:pt idx="15">
                  <c:v>71.825125296468656</c:v>
                </c:pt>
                <c:pt idx="16">
                  <c:v>71.625082057254247</c:v>
                </c:pt>
                <c:pt idx="17">
                  <c:v>71.425036781180594</c:v>
                </c:pt>
                <c:pt idx="18">
                  <c:v>71.224989372344311</c:v>
                </c:pt>
                <c:pt idx="19">
                  <c:v>71.02493973033107</c:v>
                </c:pt>
                <c:pt idx="20">
                  <c:v>70.824887750003654</c:v>
                </c:pt>
                <c:pt idx="21">
                  <c:v>70.624833321280505</c:v>
                </c:pt>
                <c:pt idx="22">
                  <c:v>70.424776328903604</c:v>
                </c:pt>
                <c:pt idx="23">
                  <c:v>70.224716652195568</c:v>
                </c:pt>
                <c:pt idx="24">
                  <c:v>70.024654164805639</c:v>
                </c:pt>
                <c:pt idx="25">
                  <c:v>69.824588734443594</c:v>
                </c:pt>
                <c:pt idx="26">
                  <c:v>69.624520222601063</c:v>
                </c:pt>
                <c:pt idx="27">
                  <c:v>69.424448484260438</c:v>
                </c:pt>
                <c:pt idx="28">
                  <c:v>69.224373367589578</c:v>
                </c:pt>
                <c:pt idx="29">
                  <c:v>69.024294713622808</c:v>
                </c:pt>
                <c:pt idx="30">
                  <c:v>68.824212355926676</c:v>
                </c:pt>
                <c:pt idx="31">
                  <c:v>68.624126120250352</c:v>
                </c:pt>
                <c:pt idx="32">
                  <c:v>68.424035824159816</c:v>
                </c:pt>
                <c:pt idx="33">
                  <c:v>68.223941276654998</c:v>
                </c:pt>
                <c:pt idx="34">
                  <c:v>68.023842277769063</c:v>
                </c:pt>
                <c:pt idx="35">
                  <c:v>67.82373861814915</c:v>
                </c:pt>
                <c:pt idx="36">
                  <c:v>67.623630078617708</c:v>
                </c:pt>
                <c:pt idx="37">
                  <c:v>67.423516429713771</c:v>
                </c:pt>
                <c:pt idx="38">
                  <c:v>67.223397431212291</c:v>
                </c:pt>
                <c:pt idx="39">
                  <c:v>67.023272831621938</c:v>
                </c:pt>
                <c:pt idx="40">
                  <c:v>66.823142367659443</c:v>
                </c:pt>
                <c:pt idx="41">
                  <c:v>66.623005763699609</c:v>
                </c:pt>
                <c:pt idx="42">
                  <c:v>66.422862731200084</c:v>
                </c:pt>
                <c:pt idx="43">
                  <c:v>66.222712968099458</c:v>
                </c:pt>
                <c:pt idx="44">
                  <c:v>66.022556158188067</c:v>
                </c:pt>
                <c:pt idx="45">
                  <c:v>65.822391970449161</c:v>
                </c:pt>
                <c:pt idx="46">
                  <c:v>65.622220058370857</c:v>
                </c:pt>
                <c:pt idx="47">
                  <c:v>65.422040059225267</c:v>
                </c:pt>
                <c:pt idx="48">
                  <c:v>65.221851593316103</c:v>
                </c:pt>
                <c:pt idx="49">
                  <c:v>65.0216542631903</c:v>
                </c:pt>
                <c:pt idx="50">
                  <c:v>64.821447652815053</c:v>
                </c:pt>
                <c:pt idx="51">
                  <c:v>64.621231326716384</c:v>
                </c:pt>
                <c:pt idx="52">
                  <c:v>64.421004829079124</c:v>
                </c:pt>
                <c:pt idx="53">
                  <c:v>64.220767682805359</c:v>
                </c:pt>
                <c:pt idx="54">
                  <c:v>64.020519388531</c:v>
                </c:pt>
                <c:pt idx="55">
                  <c:v>63.820259423597115</c:v>
                </c:pt>
                <c:pt idx="56">
                  <c:v>63.619987240974908</c:v>
                </c:pt>
                <c:pt idx="57">
                  <c:v>63.419702268143183</c:v>
                </c:pt>
                <c:pt idx="58">
                  <c:v>63.219403905913396</c:v>
                </c:pt>
                <c:pt idx="59">
                  <c:v>63.019091527204168</c:v>
                </c:pt>
                <c:pt idx="60">
                  <c:v>62.818764475759153</c:v>
                </c:pt>
                <c:pt idx="61">
                  <c:v>62.618422064808634</c:v>
                </c:pt>
                <c:pt idx="62">
                  <c:v>62.418063575671567</c:v>
                </c:pt>
                <c:pt idx="63">
                  <c:v>62.21768825629448</c:v>
                </c:pt>
                <c:pt idx="64">
                  <c:v>62.017295319727602</c:v>
                </c:pt>
                <c:pt idx="65">
                  <c:v>61.816883942531192</c:v>
                </c:pt>
                <c:pt idx="66">
                  <c:v>61.616453263114082</c:v>
                </c:pt>
                <c:pt idx="67">
                  <c:v>61.41600237999792</c:v>
                </c:pt>
                <c:pt idx="68">
                  <c:v>61.215530350006588</c:v>
                </c:pt>
                <c:pt idx="69">
                  <c:v>61.015036186375966</c:v>
                </c:pt>
                <c:pt idx="70">
                  <c:v>60.814518856781952</c:v>
                </c:pt>
                <c:pt idx="71">
                  <c:v>60.613977281284157</c:v>
                </c:pt>
                <c:pt idx="72">
                  <c:v>60.413410330180142</c:v>
                </c:pt>
                <c:pt idx="73">
                  <c:v>60.212816821768797</c:v>
                </c:pt>
                <c:pt idx="74">
                  <c:v>60.012195520018196</c:v>
                </c:pt>
                <c:pt idx="75">
                  <c:v>59.811545132134881</c:v>
                </c:pt>
                <c:pt idx="76">
                  <c:v>59.610864306030678</c:v>
                </c:pt>
                <c:pt idx="77">
                  <c:v>59.410151627683888</c:v>
                </c:pt>
                <c:pt idx="78">
                  <c:v>59.209405618390861</c:v>
                </c:pt>
                <c:pt idx="79">
                  <c:v>59.008624731903481</c:v>
                </c:pt>
                <c:pt idx="80">
                  <c:v>58.807807351450506</c:v>
                </c:pt>
                <c:pt idx="81">
                  <c:v>58.606951786636287</c:v>
                </c:pt>
                <c:pt idx="82">
                  <c:v>58.406056270215856</c:v>
                </c:pt>
                <c:pt idx="83">
                  <c:v>58.205118954739788</c:v>
                </c:pt>
                <c:pt idx="84">
                  <c:v>58.004137909066742</c:v>
                </c:pt>
                <c:pt idx="85">
                  <c:v>57.803111114738954</c:v>
                </c:pt>
                <c:pt idx="86">
                  <c:v>57.602036462216653</c:v>
                </c:pt>
                <c:pt idx="87">
                  <c:v>57.400911746967786</c:v>
                </c:pt>
                <c:pt idx="88">
                  <c:v>57.199734665409821</c:v>
                </c:pt>
                <c:pt idx="89">
                  <c:v>56.998502810698312</c:v>
                </c:pt>
                <c:pt idx="90">
                  <c:v>56.797213668360229</c:v>
                </c:pt>
                <c:pt idx="91">
                  <c:v>56.595864611768086</c:v>
                </c:pt>
                <c:pt idx="92">
                  <c:v>56.394452897451032</c:v>
                </c:pt>
                <c:pt idx="93">
                  <c:v>56.192975660240634</c:v>
                </c:pt>
                <c:pt idx="94">
                  <c:v>55.991429908248442</c:v>
                </c:pt>
                <c:pt idx="95">
                  <c:v>55.789812517671848</c:v>
                </c:pt>
                <c:pt idx="96">
                  <c:v>55.588120227428178</c:v>
                </c:pt>
                <c:pt idx="97">
                  <c:v>55.386349633612809</c:v>
                </c:pt>
                <c:pt idx="98">
                  <c:v>55.184497183782042</c:v>
                </c:pt>
                <c:pt idx="99">
                  <c:v>54.982559171059123</c:v>
                </c:pt>
                <c:pt idx="100">
                  <c:v>54.780531728063444</c:v>
                </c:pt>
                <c:pt idx="101">
                  <c:v>54.578410820663422</c:v>
                </c:pt>
                <c:pt idx="102">
                  <c:v>54.376192241554804</c:v>
                </c:pt>
                <c:pt idx="103">
                  <c:v>54.173871603666193</c:v>
                </c:pt>
                <c:pt idx="104">
                  <c:v>53.971444333395226</c:v>
                </c:pt>
                <c:pt idx="105">
                  <c:v>53.76890566367944</c:v>
                </c:pt>
                <c:pt idx="106">
                  <c:v>53.566250626907966</c:v>
                </c:pt>
                <c:pt idx="107">
                  <c:v>53.363474047679425</c:v>
                </c:pt>
                <c:pt idx="108">
                  <c:v>53.160570535416277</c:v>
                </c:pt>
                <c:pt idx="109">
                  <c:v>52.957534476843236</c:v>
                </c:pt>
                <c:pt idx="110">
                  <c:v>52.754360028343129</c:v>
                </c:pt>
                <c:pt idx="111">
                  <c:v>52.551041108202661</c:v>
                </c:pt>
                <c:pt idx="112">
                  <c:v>52.347571388763861</c:v>
                </c:pt>
                <c:pt idx="113">
                  <c:v>52.143944288499213</c:v>
                </c:pt>
                <c:pt idx="114">
                  <c:v>51.940152964031</c:v>
                </c:pt>
                <c:pt idx="115">
                  <c:v>51.736190302116604</c:v>
                </c:pt>
                <c:pt idx="116">
                  <c:v>51.532048911627875</c:v>
                </c:pt>
                <c:pt idx="117">
                  <c:v>51.327721115550837</c:v>
                </c:pt>
                <c:pt idx="118">
                  <c:v>51.123198943040499</c:v>
                </c:pt>
                <c:pt idx="119">
                  <c:v>50.9184741215646</c:v>
                </c:pt>
                <c:pt idx="120">
                  <c:v>50.713538069177879</c:v>
                </c:pt>
                <c:pt idx="121">
                  <c:v>50.508381886969133</c:v>
                </c:pt>
                <c:pt idx="122">
                  <c:v>50.302996351730087</c:v>
                </c:pt>
                <c:pt idx="123">
                  <c:v>50.097371908898438</c:v>
                </c:pt>
                <c:pt idx="124">
                  <c:v>49.891498665833069</c:v>
                </c:pt>
                <c:pt idx="125">
                  <c:v>49.685366385483576</c:v>
                </c:pt>
                <c:pt idx="126">
                  <c:v>49.478964480522691</c:v>
                </c:pt>
                <c:pt idx="127">
                  <c:v>49.272282008015047</c:v>
                </c:pt>
                <c:pt idx="128">
                  <c:v>49.065307664701635</c:v>
                </c:pt>
                <c:pt idx="129">
                  <c:v>48.858029782985923</c:v>
                </c:pt>
                <c:pt idx="130">
                  <c:v>48.650436327712612</c:v>
                </c:pt>
                <c:pt idx="131">
                  <c:v>48.442514893838016</c:v>
                </c:pt>
                <c:pt idx="132">
                  <c:v>48.234252705095379</c:v>
                </c:pt>
                <c:pt idx="133">
                  <c:v>48.02563661376734</c:v>
                </c:pt>
                <c:pt idx="134">
                  <c:v>47.816653101681723</c:v>
                </c:pt>
                <c:pt idx="135">
                  <c:v>47.607288282555835</c:v>
                </c:pt>
                <c:pt idx="136">
                  <c:v>47.397527905818244</c:v>
                </c:pt>
                <c:pt idx="137">
                  <c:v>47.187357362045141</c:v>
                </c:pt>
                <c:pt idx="138">
                  <c:v>46.976761690152749</c:v>
                </c:pt>
                <c:pt idx="139">
                  <c:v>46.76572558649341</c:v>
                </c:pt>
                <c:pt idx="140">
                  <c:v>46.554233416006539</c:v>
                </c:pt>
                <c:pt idx="141">
                  <c:v>46.342269225581596</c:v>
                </c:pt>
                <c:pt idx="142">
                  <c:v>46.129816759791645</c:v>
                </c:pt>
                <c:pt idx="143">
                  <c:v>45.916859479158987</c:v>
                </c:pt>
                <c:pt idx="144">
                  <c:v>45.703380581115248</c:v>
                </c:pt>
                <c:pt idx="145">
                  <c:v>45.489363023818711</c:v>
                </c:pt>
                <c:pt idx="146">
                  <c:v>45.274789552988622</c:v>
                </c:pt>
                <c:pt idx="147">
                  <c:v>45.059642731913542</c:v>
                </c:pt>
                <c:pt idx="148">
                  <c:v>44.843904974784714</c:v>
                </c:pt>
                <c:pt idx="149">
                  <c:v>44.627558583497937</c:v>
                </c:pt>
                <c:pt idx="150">
                  <c:v>44.410585788058263</c:v>
                </c:pt>
                <c:pt idx="151">
                  <c:v>44.19296879070653</c:v>
                </c:pt>
                <c:pt idx="152">
                  <c:v>43.974689813874839</c:v>
                </c:pt>
                <c:pt idx="153">
                  <c:v>43.755731152056313</c:v>
                </c:pt>
                <c:pt idx="154">
                  <c:v>43.536075227655921</c:v>
                </c:pt>
                <c:pt idx="155">
                  <c:v>43.315704650861441</c:v>
                </c:pt>
                <c:pt idx="156">
                  <c:v>43.0946022835479</c:v>
                </c:pt>
                <c:pt idx="157">
                  <c:v>42.87275130719464</c:v>
                </c:pt>
                <c:pt idx="158">
                  <c:v>42.650135294761569</c:v>
                </c:pt>
                <c:pt idx="159">
                  <c:v>42.42673828642949</c:v>
                </c:pt>
                <c:pt idx="160">
                  <c:v>42.202544869069797</c:v>
                </c:pt>
                <c:pt idx="161">
                  <c:v>41.977540259260699</c:v>
                </c:pt>
                <c:pt idx="162">
                  <c:v>41.75171038962133</c:v>
                </c:pt>
                <c:pt idx="163">
                  <c:v>41.525041998182132</c:v>
                </c:pt>
                <c:pt idx="164">
                  <c:v>41.297522720454864</c:v>
                </c:pt>
                <c:pt idx="165">
                  <c:v>41.069141183813983</c:v>
                </c:pt>
                <c:pt idx="166">
                  <c:v>40.83988710374004</c:v>
                </c:pt>
                <c:pt idx="167">
                  <c:v>40.609751381420899</c:v>
                </c:pt>
                <c:pt idx="168">
                  <c:v>40.378726202147881</c:v>
                </c:pt>
                <c:pt idx="169">
                  <c:v>40.14680513388754</c:v>
                </c:pt>
                <c:pt idx="170">
                  <c:v>39.913983225356716</c:v>
                </c:pt>
                <c:pt idx="171">
                  <c:v>39.680257102873668</c:v>
                </c:pt>
                <c:pt idx="172">
                  <c:v>39.445625065214372</c:v>
                </c:pt>
                <c:pt idx="173">
                  <c:v>39.210087175656184</c:v>
                </c:pt>
                <c:pt idx="174">
                  <c:v>38.973645350358829</c:v>
                </c:pt>
                <c:pt idx="175">
                  <c:v>38.736303442199343</c:v>
                </c:pt>
                <c:pt idx="176">
                  <c:v>38.498067319159631</c:v>
                </c:pt>
                <c:pt idx="177">
                  <c:v>38.258944936352272</c:v>
                </c:pt>
                <c:pt idx="178">
                  <c:v>38.018946400770787</c:v>
                </c:pt>
                <c:pt idx="179">
                  <c:v>37.778084027858</c:v>
                </c:pt>
                <c:pt idx="180">
                  <c:v>37.536372389010623</c:v>
                </c:pt>
                <c:pt idx="181">
                  <c:v>37.293828349172713</c:v>
                </c:pt>
                <c:pt idx="182">
                  <c:v>37.050471093716503</c:v>
                </c:pt>
                <c:pt idx="183">
                  <c:v>36.80632214387041</c:v>
                </c:pt>
                <c:pt idx="184">
                  <c:v>36.561405360028814</c:v>
                </c:pt>
                <c:pt idx="185">
                  <c:v>36.315746932361925</c:v>
                </c:pt>
                <c:pt idx="186">
                  <c:v>36.069375358243413</c:v>
                </c:pt>
                <c:pt idx="187">
                  <c:v>35.82232140612313</c:v>
                </c:pt>
                <c:pt idx="188">
                  <c:v>35.57461806559057</c:v>
                </c:pt>
                <c:pt idx="189">
                  <c:v>35.326300483502997</c:v>
                </c:pt>
                <c:pt idx="190">
                  <c:v>35.07740588618838</c:v>
                </c:pt>
                <c:pt idx="191">
                  <c:v>34.827973487872306</c:v>
                </c:pt>
                <c:pt idx="192">
                  <c:v>34.578044385623194</c:v>
                </c:pt>
                <c:pt idx="193">
                  <c:v>34.327661441255344</c:v>
                </c:pt>
                <c:pt idx="194">
                  <c:v>34.076869150772879</c:v>
                </c:pt>
                <c:pt idx="195">
                  <c:v>33.825713502080227</c:v>
                </c:pt>
                <c:pt idx="196">
                  <c:v>33.574241821819285</c:v>
                </c:pt>
                <c:pt idx="197">
                  <c:v>33.322502612322459</c:v>
                </c:pt>
                <c:pt idx="198">
                  <c:v>33.070545379789237</c:v>
                </c:pt>
                <c:pt idx="199">
                  <c:v>32.818420454898842</c:v>
                </c:pt>
                <c:pt idx="200">
                  <c:v>32.566178807166793</c:v>
                </c:pt>
                <c:pt idx="201">
                  <c:v>32.313871854427589</c:v>
                </c:pt>
                <c:pt idx="202">
                  <c:v>32.061551268890234</c:v>
                </c:pt>
                <c:pt idx="203">
                  <c:v>31.809268781252275</c:v>
                </c:pt>
                <c:pt idx="204">
                  <c:v>31.557075984385364</c:v>
                </c:pt>
                <c:pt idx="205">
                  <c:v>31.305024138109772</c:v>
                </c:pt>
                <c:pt idx="206">
                  <c:v>31.053163976561894</c:v>
                </c:pt>
                <c:pt idx="207">
                  <c:v>30.801545519625467</c:v>
                </c:pt>
                <c:pt idx="208">
                  <c:v>30.55021788984827</c:v>
                </c:pt>
                <c:pt idx="209">
                  <c:v>30.299229136196377</c:v>
                </c:pt>
                <c:pt idx="210">
                  <c:v>30.048626065914348</c:v>
                </c:pt>
                <c:pt idx="211">
                  <c:v>29.798454085661895</c:v>
                </c:pt>
                <c:pt idx="212">
                  <c:v>29.5487570529842</c:v>
                </c:pt>
                <c:pt idx="213">
                  <c:v>29.29957713905096</c:v>
                </c:pt>
                <c:pt idx="214">
                  <c:v>29.050954703468719</c:v>
                </c:pt>
                <c:pt idx="215">
                  <c:v>28.80292818183019</c:v>
                </c:pt>
                <c:pt idx="216">
                  <c:v>28.555533986524139</c:v>
                </c:pt>
                <c:pt idx="217">
                  <c:v>28.308806421181529</c:v>
                </c:pt>
                <c:pt idx="218">
                  <c:v>28.062777608992061</c:v>
                </c:pt>
                <c:pt idx="219">
                  <c:v>27.817477434978024</c:v>
                </c:pt>
                <c:pt idx="220">
                  <c:v>27.57293350217893</c:v>
                </c:pt>
                <c:pt idx="221">
                  <c:v>27.329171101563734</c:v>
                </c:pt>
                <c:pt idx="222">
                  <c:v>27.086213195365367</c:v>
                </c:pt>
                <c:pt idx="223">
                  <c:v>26.844080413416776</c:v>
                </c:pt>
                <c:pt idx="224">
                  <c:v>26.602791061962186</c:v>
                </c:pt>
                <c:pt idx="225">
                  <c:v>26.362361144325849</c:v>
                </c:pt>
                <c:pt idx="226">
                  <c:v>26.122804392738516</c:v>
                </c:pt>
                <c:pt idx="227">
                  <c:v>25.884132310554335</c:v>
                </c:pt>
                <c:pt idx="228">
                  <c:v>25.646354224037164</c:v>
                </c:pt>
                <c:pt idx="229">
                  <c:v>25.409477342850465</c:v>
                </c:pt>
                <c:pt idx="230">
                  <c:v>25.173506828360477</c:v>
                </c:pt>
                <c:pt idx="231">
                  <c:v>24.9384458688391</c:v>
                </c:pt>
                <c:pt idx="232">
                  <c:v>24.704295760655292</c:v>
                </c:pt>
                <c:pt idx="233">
                  <c:v>24.471055994541953</c:v>
                </c:pt>
                <c:pt idx="234">
                  <c:v>24.238724346046723</c:v>
                </c:pt>
                <c:pt idx="235">
                  <c:v>24.007296969296164</c:v>
                </c:pt>
                <c:pt idx="236">
                  <c:v>23.776768493237682</c:v>
                </c:pt>
                <c:pt idx="237">
                  <c:v>23.547132119560317</c:v>
                </c:pt>
                <c:pt idx="238">
                  <c:v>23.318379721543941</c:v>
                </c:pt>
                <c:pt idx="239">
                  <c:v>23.090501943132324</c:v>
                </c:pt>
                <c:pt idx="240">
                  <c:v>22.86348829758165</c:v>
                </c:pt>
                <c:pt idx="241">
                  <c:v>22.637327265089048</c:v>
                </c:pt>
                <c:pt idx="242">
                  <c:v>22.412006388865979</c:v>
                </c:pt>
                <c:pt idx="243">
                  <c:v>22.187512369174346</c:v>
                </c:pt>
                <c:pt idx="244">
                  <c:v>21.963831154905357</c:v>
                </c:pt>
                <c:pt idx="245">
                  <c:v>21.740948032334153</c:v>
                </c:pt>
                <c:pt idx="246">
                  <c:v>21.518847710739756</c:v>
                </c:pt>
                <c:pt idx="247">
                  <c:v>21.297514404632146</c:v>
                </c:pt>
                <c:pt idx="248">
                  <c:v>21.076931912378527</c:v>
                </c:pt>
                <c:pt idx="249">
                  <c:v>20.857083691068294</c:v>
                </c:pt>
                <c:pt idx="250">
                  <c:v>20.637952927499839</c:v>
                </c:pt>
                <c:pt idx="251">
                  <c:v>20.419522605214091</c:v>
                </c:pt>
                <c:pt idx="252">
                  <c:v>20.20177556753567</c:v>
                </c:pt>
                <c:pt idx="253">
                  <c:v>19.984694576618054</c:v>
                </c:pt>
                <c:pt idx="254">
                  <c:v>19.7682623685171</c:v>
                </c:pt>
                <c:pt idx="255">
                  <c:v>19.552461704346669</c:v>
                </c:pt>
                <c:pt idx="256">
                  <c:v>19.337275417591218</c:v>
                </c:pt>
                <c:pt idx="257">
                  <c:v>19.122686457671886</c:v>
                </c:pt>
                <c:pt idx="258">
                  <c:v>18.908677929879254</c:v>
                </c:pt>
                <c:pt idx="259">
                  <c:v>18.695233131799508</c:v>
                </c:pt>
                <c:pt idx="260">
                  <c:v>18.482335586373818</c:v>
                </c:pt>
                <c:pt idx="261">
                  <c:v>18.269969071737421</c:v>
                </c:pt>
                <c:pt idx="262">
                  <c:v>18.058117647994386</c:v>
                </c:pt>
                <c:pt idx="263">
                  <c:v>17.846765681085198</c:v>
                </c:pt>
                <c:pt idx="264">
                  <c:v>17.635897863911524</c:v>
                </c:pt>
                <c:pt idx="265">
                  <c:v>17.42549923487784</c:v>
                </c:pt>
                <c:pt idx="266">
                  <c:v>17.215555194015447</c:v>
                </c:pt>
                <c:pt idx="267">
                  <c:v>17.006051516847283</c:v>
                </c:pt>
                <c:pt idx="268">
                  <c:v>16.796974366152629</c:v>
                </c:pt>
                <c:pt idx="269">
                  <c:v>16.588310301785583</c:v>
                </c:pt>
                <c:pt idx="270">
                  <c:v>16.380046288696366</c:v>
                </c:pt>
                <c:pt idx="271">
                  <c:v>16.172169703300547</c:v>
                </c:pt>
                <c:pt idx="272">
                  <c:v>15.964668338334674</c:v>
                </c:pt>
                <c:pt idx="273">
                  <c:v>15.757530406329396</c:v>
                </c:pt>
                <c:pt idx="274">
                  <c:v>15.550744541828589</c:v>
                </c:pt>
                <c:pt idx="275">
                  <c:v>15.344299802471337</c:v>
                </c:pt>
                <c:pt idx="276">
                  <c:v>15.138185669050372</c:v>
                </c:pt>
                <c:pt idx="277">
                  <c:v>14.932392044652033</c:v>
                </c:pt>
                <c:pt idx="278">
                  <c:v>14.726909252977308</c:v>
                </c:pt>
                <c:pt idx="279">
                  <c:v>14.521728035933986</c:v>
                </c:pt>
                <c:pt idx="280">
                  <c:v>14.316839550586369</c:v>
                </c:pt>
                <c:pt idx="281">
                  <c:v>14.112235365539615</c:v>
                </c:pt>
                <c:pt idx="282">
                  <c:v>13.907907456831438</c:v>
                </c:pt>
                <c:pt idx="283">
                  <c:v>13.703848203395076</c:v>
                </c:pt>
                <c:pt idx="284">
                  <c:v>13.500050382153859</c:v>
                </c:pt>
                <c:pt idx="285">
                  <c:v>13.296507162799356</c:v>
                </c:pt>
                <c:pt idx="286">
                  <c:v>13.093212102300448</c:v>
                </c:pt>
                <c:pt idx="287">
                  <c:v>12.890159139185741</c:v>
                </c:pt>
                <c:pt idx="288">
                  <c:v>12.687342587633587</c:v>
                </c:pt>
                <c:pt idx="289">
                  <c:v>12.484757131402217</c:v>
                </c:pt>
                <c:pt idx="290">
                  <c:v>12.282397817624995</c:v>
                </c:pt>
                <c:pt idx="291">
                  <c:v>12.08026005049145</c:v>
                </c:pt>
                <c:pt idx="292">
                  <c:v>11.878339584831153</c:v>
                </c:pt>
                <c:pt idx="293">
                  <c:v>11.676632519611545</c:v>
                </c:pt>
                <c:pt idx="294">
                  <c:v>11.475135291357464</c:v>
                </c:pt>
                <c:pt idx="295">
                  <c:v>11.273844667495602</c:v>
                </c:pt>
                <c:pt idx="296">
                  <c:v>11.072757739623849</c:v>
                </c:pt>
                <c:pt idx="297">
                  <c:v>10.871871916700526</c:v>
                </c:pt>
                <c:pt idx="298">
                  <c:v>10.671184918145638</c:v>
                </c:pt>
                <c:pt idx="299">
                  <c:v>10.470694766843383</c:v>
                </c:pt>
                <c:pt idx="300">
                  <c:v>10.270399782030653</c:v>
                </c:pt>
                <c:pt idx="301">
                  <c:v>10.070298572053494</c:v>
                </c:pt>
                <c:pt idx="302">
                  <c:v>9.8703900269721085</c:v>
                </c:pt>
                <c:pt idx="303">
                  <c:v>9.6706733109897609</c:v>
                </c:pt>
                <c:pt idx="304">
                  <c:v>9.4711478546800905</c:v>
                </c:pt>
                <c:pt idx="305">
                  <c:v>9.2718133469854251</c:v>
                </c:pt>
                <c:pt idx="306">
                  <c:v>9.0726697269549401</c:v>
                </c:pt>
                <c:pt idx="307">
                  <c:v>8.8737171751918211</c:v>
                </c:pt>
                <c:pt idx="308">
                  <c:v>8.6749561049751414</c:v>
                </c:pt>
                <c:pt idx="309">
                  <c:v>8.4763871530228396</c:v>
                </c:pt>
                <c:pt idx="310">
                  <c:v>8.2780111698609016</c:v>
                </c:pt>
                <c:pt idx="311">
                  <c:v>8.0798292097624049</c:v>
                </c:pt>
                <c:pt idx="312">
                  <c:v>7.8818425202224613</c:v>
                </c:pt>
                <c:pt idx="313">
                  <c:v>7.6840525309331529</c:v>
                </c:pt>
                <c:pt idx="314">
                  <c:v>7.4864608422271015</c:v>
                </c:pt>
                <c:pt idx="315">
                  <c:v>7.2890692129558419</c:v>
                </c:pt>
                <c:pt idx="316">
                  <c:v>7.0918795477765251</c:v>
                </c:pt>
                <c:pt idx="317">
                  <c:v>6.8948938838184572</c:v>
                </c:pt>
                <c:pt idx="318">
                  <c:v>6.6981143767109828</c:v>
                </c:pt>
                <c:pt idx="319">
                  <c:v>6.5015432859520219</c:v>
                </c:pt>
                <c:pt idx="320">
                  <c:v>6.3051829596090911</c:v>
                </c:pt>
                <c:pt idx="321">
                  <c:v>6.1090358183457667</c:v>
                </c:pt>
                <c:pt idx="322">
                  <c:v>5.9131043387775613</c:v>
                </c:pt>
                <c:pt idx="323">
                  <c:v>5.7173910361669833</c:v>
                </c:pt>
                <c:pt idx="324">
                  <c:v>5.521898446478712</c:v>
                </c:pt>
                <c:pt idx="325">
                  <c:v>5.3266291078260517</c:v>
                </c:pt>
                <c:pt idx="326">
                  <c:v>5.1315855413493372</c:v>
                </c:pt>
                <c:pt idx="327">
                  <c:v>4.9367702315808408</c:v>
                </c:pt>
                <c:pt idx="328">
                  <c:v>4.7421856063635959</c:v>
                </c:pt>
                <c:pt idx="329">
                  <c:v>4.5478340164033781</c:v>
                </c:pt>
                <c:pt idx="330">
                  <c:v>4.3537177145503936</c:v>
                </c:pt>
                <c:pt idx="331">
                  <c:v>4.1598388349185802</c:v>
                </c:pt>
                <c:pt idx="332">
                  <c:v>3.9661993719686524</c:v>
                </c:pt>
                <c:pt idx="333">
                  <c:v>3.7728011596946271</c:v>
                </c:pt>
                <c:pt idx="334">
                  <c:v>3.5796458510676921</c:v>
                </c:pt>
                <c:pt idx="335">
                  <c:v>3.3867348979083789</c:v>
                </c:pt>
                <c:pt idx="336">
                  <c:v>3.1940695313708742</c:v>
                </c:pt>
                <c:pt idx="337">
                  <c:v>3.0016507432351132</c:v>
                </c:pt>
                <c:pt idx="338">
                  <c:v>2.8094792682159597</c:v>
                </c:pt>
                <c:pt idx="339">
                  <c:v>2.6175555675082469</c:v>
                </c:pt>
                <c:pt idx="340">
                  <c:v>2.4258798137939386</c:v>
                </c:pt>
                <c:pt idx="341">
                  <c:v>2.234451877943993</c:v>
                </c:pt>
                <c:pt idx="342">
                  <c:v>2.043271317650873</c:v>
                </c:pt>
                <c:pt idx="343">
                  <c:v>1.8523373682266771</c:v>
                </c:pt>
                <c:pt idx="344">
                  <c:v>1.6616489357991964</c:v>
                </c:pt>
                <c:pt idx="345">
                  <c:v>1.4712045931316324</c:v>
                </c:pt>
                <c:pt idx="346">
                  <c:v>1.2810025782807923</c:v>
                </c:pt>
                <c:pt idx="347">
                  <c:v>1.0910407962938444</c:v>
                </c:pt>
                <c:pt idx="348">
                  <c:v>0.90131682412627345</c:v>
                </c:pt>
                <c:pt idx="349">
                  <c:v>0.71182791893891861</c:v>
                </c:pt>
                <c:pt idx="350">
                  <c:v>0.52257102991064686</c:v>
                </c:pt>
                <c:pt idx="351">
                  <c:v>0.33354281366577387</c:v>
                </c:pt>
                <c:pt idx="352">
                  <c:v>0.14473965339222947</c:v>
                </c:pt>
                <c:pt idx="353">
                  <c:v>-4.3842318320203869E-2</c:v>
                </c:pt>
                <c:pt idx="354">
                  <c:v>-0.23220719292195058</c:v>
                </c:pt>
                <c:pt idx="355">
                  <c:v>-0.42035925567167837</c:v>
                </c:pt>
                <c:pt idx="356">
                  <c:v>-0.60830295181482441</c:v>
                </c:pt>
                <c:pt idx="357">
                  <c:v>-0.79604284930137326</c:v>
                </c:pt>
                <c:pt idx="358">
                  <c:v>-0.98358359820998253</c:v>
                </c:pt>
                <c:pt idx="359">
                  <c:v>-1.1709298870885236</c:v>
                </c:pt>
                <c:pt idx="360">
                  <c:v>-1.3580863964590508</c:v>
                </c:pt>
                <c:pt idx="361">
                  <c:v>-1.5450577497691156</c:v>
                </c:pt>
                <c:pt idx="362">
                  <c:v>-1.7318484621060282</c:v>
                </c:pt>
                <c:pt idx="363">
                  <c:v>-1.9184628870171618</c:v>
                </c:pt>
                <c:pt idx="364">
                  <c:v>-2.1049051618024412</c:v>
                </c:pt>
                <c:pt idx="365">
                  <c:v>-2.291179151665145</c:v>
                </c:pt>
                <c:pt idx="366">
                  <c:v>-2.4772883931151499</c:v>
                </c:pt>
                <c:pt idx="367">
                  <c:v>-2.6632360370317061</c:v>
                </c:pt>
                <c:pt idx="368">
                  <c:v>-2.8490247917855651</c:v>
                </c:pt>
                <c:pt idx="369">
                  <c:v>-3.034656866820276</c:v>
                </c:pt>
                <c:pt idx="370">
                  <c:v>-3.2201339170787535</c:v>
                </c:pt>
                <c:pt idx="371">
                  <c:v>-3.405456988643814</c:v>
                </c:pt>
                <c:pt idx="372">
                  <c:v>-3.5906264659391054</c:v>
                </c:pt>
                <c:pt idx="373">
                  <c:v>-3.7756420208125334</c:v>
                </c:pt>
                <c:pt idx="374">
                  <c:v>-3.9605025637899964</c:v>
                </c:pt>
                <c:pt idx="375">
                  <c:v>-4.1452061977553729</c:v>
                </c:pt>
                <c:pt idx="376">
                  <c:v>-4.3297501742786677</c:v>
                </c:pt>
                <c:pt idx="377">
                  <c:v>-4.5141308527715918</c:v>
                </c:pt>
                <c:pt idx="378">
                  <c:v>-4.6983436626166295</c:v>
                </c:pt>
                <c:pt idx="379">
                  <c:v>-4.8823830683735645</c:v>
                </c:pt>
                <c:pt idx="380">
                  <c:v>-5.0662425381330722</c:v>
                </c:pt>
                <c:pt idx="381">
                  <c:v>-5.2499145150478697</c:v>
                </c:pt>
                <c:pt idx="382">
                  <c:v>-5.4333903920419271</c:v>
                </c:pt>
                <c:pt idx="383">
                  <c:v>-5.6166604896642189</c:v>
                </c:pt>
                <c:pt idx="384">
                  <c:v>-5.7997140370294353</c:v>
                </c:pt>
                <c:pt idx="385">
                  <c:v>-5.9825391557605023</c:v>
                </c:pt>
                <c:pt idx="386">
                  <c:v>-6.1651228468321264</c:v>
                </c:pt>
                <c:pt idx="387">
                  <c:v>-6.3474509801962302</c:v>
                </c:pt>
                <c:pt idx="388">
                  <c:v>-6.5295082870588272</c:v>
                </c:pt>
                <c:pt idx="389">
                  <c:v>-6.7112783546746835</c:v>
                </c:pt>
                <c:pt idx="390">
                  <c:v>-6.8927436235166422</c:v>
                </c:pt>
                <c:pt idx="391">
                  <c:v>-7.0738853866852969</c:v>
                </c:pt>
                <c:pt idx="392">
                  <c:v>-7.2546837914227229</c:v>
                </c:pt>
                <c:pt idx="393">
                  <c:v>-7.4351178426069842</c:v>
                </c:pt>
                <c:pt idx="394">
                  <c:v>-7.6151654081155753</c:v>
                </c:pt>
                <c:pt idx="395">
                  <c:v>-7.7948032259553504</c:v>
                </c:pt>
                <c:pt idx="396">
                  <c:v>-7.9740069130808413</c:v>
                </c:pt>
                <c:pt idx="397">
                  <c:v>-8.1527509758353442</c:v>
                </c:pt>
                <c:pt idx="398">
                  <c:v>-8.3310088219723113</c:v>
                </c:pt>
                <c:pt idx="399">
                  <c:v>-8.508752774235619</c:v>
                </c:pt>
                <c:pt idx="400">
                  <c:v>-8.6859540854987429</c:v>
                </c:pt>
                <c:pt idx="401">
                  <c:v>-8.8625829554865945</c:v>
                </c:pt>
                <c:pt idx="402">
                  <c:v>-9.038608549124028</c:v>
                </c:pt>
                <c:pt idx="403">
                  <c:v>-9.2139990165789207</c:v>
                </c:pt>
                <c:pt idx="404">
                  <c:v>-9.3887215150876013</c:v>
                </c:pt>
                <c:pt idx="405">
                  <c:v>-9.5627422326701357</c:v>
                </c:pt>
                <c:pt idx="406">
                  <c:v>-9.736026413862465</c:v>
                </c:pt>
                <c:pt idx="407">
                  <c:v>-9.9085383876055033</c:v>
                </c:pt>
                <c:pt idx="408">
                  <c:v>-10.080241597451472</c:v>
                </c:pt>
                <c:pt idx="409">
                  <c:v>-10.251098634252536</c:v>
                </c:pt>
                <c:pt idx="410">
                  <c:v>-10.421071271511128</c:v>
                </c:pt>
                <c:pt idx="411">
                  <c:v>-10.590120503574907</c:v>
                </c:pt>
                <c:pt idx="412">
                  <c:v>-10.758206586864887</c:v>
                </c:pt>
                <c:pt idx="413">
                  <c:v>-10.925289084320077</c:v>
                </c:pt>
                <c:pt idx="414">
                  <c:v>-11.091326913243932</c:v>
                </c:pt>
                <c:pt idx="415">
                  <c:v>-11.256278396726314</c:v>
                </c:pt>
                <c:pt idx="416">
                  <c:v>-11.420101318803621</c:v>
                </c:pt>
                <c:pt idx="417">
                  <c:v>-11.582752983505554</c:v>
                </c:pt>
                <c:pt idx="418">
                  <c:v>-11.744190277916575</c:v>
                </c:pt>
                <c:pt idx="419">
                  <c:v>-11.904369739356675</c:v>
                </c:pt>
                <c:pt idx="420">
                  <c:v>-12.063247626756638</c:v>
                </c:pt>
                <c:pt idx="421">
                  <c:v>-12.220779996275549</c:v>
                </c:pt>
                <c:pt idx="422">
                  <c:v>-12.376922781166744</c:v>
                </c:pt>
                <c:pt idx="423">
                  <c:v>-12.531631875863976</c:v>
                </c:pt>
                <c:pt idx="424">
                  <c:v>-12.684863224214968</c:v>
                </c:pt>
                <c:pt idx="425">
                  <c:v>-12.836572911742294</c:v>
                </c:pt>
                <c:pt idx="426">
                  <c:v>-12.986717261764731</c:v>
                </c:pt>
                <c:pt idx="427">
                  <c:v>-13.135252935161148</c:v>
                </c:pt>
                <c:pt idx="428">
                  <c:v>-13.282137033504057</c:v>
                </c:pt>
                <c:pt idx="429">
                  <c:v>-13.427327205239765</c:v>
                </c:pt>
                <c:pt idx="430">
                  <c:v>-13.570781754534096</c:v>
                </c:pt>
                <c:pt idx="431">
                  <c:v>-13.712459752352739</c:v>
                </c:pt>
                <c:pt idx="432">
                  <c:v>-13.852321149288638</c:v>
                </c:pt>
                <c:pt idx="433">
                  <c:v>-13.990326889601699</c:v>
                </c:pt>
                <c:pt idx="434">
                  <c:v>-14.126439025887041</c:v>
                </c:pt>
                <c:pt idx="435">
                  <c:v>-14.260620833744866</c:v>
                </c:pt>
                <c:pt idx="436">
                  <c:v>-14.392836925784493</c:v>
                </c:pt>
                <c:pt idx="437">
                  <c:v>-14.523053364265996</c:v>
                </c:pt>
                <c:pt idx="438">
                  <c:v>-14.651237771652241</c:v>
                </c:pt>
                <c:pt idx="439">
                  <c:v>-14.777359438326991</c:v>
                </c:pt>
                <c:pt idx="440">
                  <c:v>-14.901389426724744</c:v>
                </c:pt>
                <c:pt idx="441">
                  <c:v>-15.023300671112896</c:v>
                </c:pt>
                <c:pt idx="442">
                  <c:v>-15.143068072277606</c:v>
                </c:pt>
                <c:pt idx="443">
                  <c:v>-15.260668586376324</c:v>
                </c:pt>
                <c:pt idx="444">
                  <c:v>-15.376081307251663</c:v>
                </c:pt>
                <c:pt idx="445">
                  <c:v>-15.489287541531461</c:v>
                </c:pt>
                <c:pt idx="446">
                  <c:v>-15.600270875888642</c:v>
                </c:pt>
                <c:pt idx="447">
                  <c:v>-15.709017235887588</c:v>
                </c:pt>
                <c:pt idx="448">
                  <c:v>-15.815514935906185</c:v>
                </c:pt>
                <c:pt idx="449">
                  <c:v>-15.919754719691301</c:v>
                </c:pt>
                <c:pt idx="450">
                  <c:v>-16.021729791186758</c:v>
                </c:pt>
                <c:pt idx="451">
                  <c:v>-16.121435835349935</c:v>
                </c:pt>
                <c:pt idx="452">
                  <c:v>-16.218871028764074</c:v>
                </c:pt>
                <c:pt idx="453">
                  <c:v>-16.31403603994303</c:v>
                </c:pt>
                <c:pt idx="454">
                  <c:v>-16.406934019314914</c:v>
                </c:pt>
                <c:pt idx="455">
                  <c:v>-16.49757057896441</c:v>
                </c:pt>
                <c:pt idx="456">
                  <c:v>-16.585953762307739</c:v>
                </c:pt>
                <c:pt idx="457">
                  <c:v>-16.672094003956538</c:v>
                </c:pt>
                <c:pt idx="458">
                  <c:v>-16.756004080117012</c:v>
                </c:pt>
                <c:pt idx="459">
                  <c:v>-16.837699049948188</c:v>
                </c:pt>
                <c:pt idx="460">
                  <c:v>-16.917196188376224</c:v>
                </c:pt>
                <c:pt idx="461">
                  <c:v>-16.994514910927943</c:v>
                </c:pt>
                <c:pt idx="462">
                  <c:v>-17.069676691206503</c:v>
                </c:pt>
                <c:pt idx="463">
                  <c:v>-17.142704971677741</c:v>
                </c:pt>
                <c:pt idx="464">
                  <c:v>-17.213625068480304</c:v>
                </c:pt>
                <c:pt idx="465">
                  <c:v>-17.282464070999318</c:v>
                </c:pt>
                <c:pt idx="466">
                  <c:v>-17.349250736966283</c:v>
                </c:pt>
                <c:pt idx="467">
                  <c:v>-17.414015383861109</c:v>
                </c:pt>
                <c:pt idx="468">
                  <c:v>-17.476789777389879</c:v>
                </c:pt>
                <c:pt idx="469">
                  <c:v>-17.537607017809584</c:v>
                </c:pt>
                <c:pt idx="470">
                  <c:v>-17.596501424855383</c:v>
                </c:pt>
                <c:pt idx="471">
                  <c:v>-17.653508422001131</c:v>
                </c:pt>
                <c:pt idx="472">
                  <c:v>-17.708664420758538</c:v>
                </c:pt>
                <c:pt idx="473">
                  <c:v>-17.762006705681003</c:v>
                </c:pt>
                <c:pt idx="474">
                  <c:v>-17.813573320701487</c:v>
                </c:pt>
                <c:pt idx="475">
                  <c:v>-17.863402957383737</c:v>
                </c:pt>
                <c:pt idx="476">
                  <c:v>-17.911534845626477</c:v>
                </c:pt>
                <c:pt idx="477">
                  <c:v>-17.958008647298655</c:v>
                </c:pt>
                <c:pt idx="478">
                  <c:v>-18.002864353242316</c:v>
                </c:pt>
                <c:pt idx="479">
                  <c:v>-18.046142184018542</c:v>
                </c:pt>
                <c:pt idx="480">
                  <c:v>-18.087882494723981</c:v>
                </c:pt>
                <c:pt idx="481">
                  <c:v>-18.128125684150341</c:v>
                </c:pt>
                <c:pt idx="482">
                  <c:v>-18.166912108509184</c:v>
                </c:pt>
                <c:pt idx="483">
                  <c:v>-18.204281999895471</c:v>
                </c:pt>
                <c:pt idx="484">
                  <c:v>-18.240275389615462</c:v>
                </c:pt>
                <c:pt idx="485">
                  <c:v>-18.274932036459724</c:v>
                </c:pt>
                <c:pt idx="486">
                  <c:v>-18.308291359963718</c:v>
                </c:pt>
                <c:pt idx="487">
                  <c:v>-18.340392378654702</c:v>
                </c:pt>
                <c:pt idx="488">
                  <c:v>-18.37127365325512</c:v>
                </c:pt>
                <c:pt idx="489">
                  <c:v>-18.400973234775829</c:v>
                </c:pt>
                <c:pt idx="490">
                  <c:v>-18.429528617407133</c:v>
                </c:pt>
                <c:pt idx="491">
                  <c:v>-18.456976696091907</c:v>
                </c:pt>
                <c:pt idx="492">
                  <c:v>-18.483353728638917</c:v>
                </c:pt>
                <c:pt idx="493">
                  <c:v>-18.508695302223323</c:v>
                </c:pt>
                <c:pt idx="494">
                  <c:v>-18.533036304100264</c:v>
                </c:pt>
                <c:pt idx="495">
                  <c:v>-18.556410896348904</c:v>
                </c:pt>
                <c:pt idx="496">
                  <c:v>-18.578852494452647</c:v>
                </c:pt>
                <c:pt idx="497">
                  <c:v>-18.600393749516954</c:v>
                </c:pt>
                <c:pt idx="498">
                  <c:v>-18.621066533918899</c:v>
                </c:pt>
                <c:pt idx="499">
                  <c:v>-18.640901930182295</c:v>
                </c:pt>
                <c:pt idx="500">
                  <c:v>-18.659930222870148</c:v>
                </c:pt>
                <c:pt idx="501">
                  <c:v>-18.678180893289472</c:v>
                </c:pt>
                <c:pt idx="502">
                  <c:v>-18.695682616803044</c:v>
                </c:pt>
                <c:pt idx="503">
                  <c:v>-18.712463262549136</c:v>
                </c:pt>
                <c:pt idx="504">
                  <c:v>-18.728549895374808</c:v>
                </c:pt>
                <c:pt idx="505">
                  <c:v>-18.743968779793384</c:v>
                </c:pt>
                <c:pt idx="506">
                  <c:v>-18.758745385783328</c:v>
                </c:pt>
                <c:pt idx="507">
                  <c:v>-18.77290439625558</c:v>
                </c:pt>
                <c:pt idx="508">
                  <c:v>-18.786469716019006</c:v>
                </c:pt>
                <c:pt idx="509">
                  <c:v>-18.799464482088545</c:v>
                </c:pt>
                <c:pt idx="510">
                  <c:v>-18.811911075181804</c:v>
                </c:pt>
                <c:pt idx="511">
                  <c:v>-18.823831132264171</c:v>
                </c:pt>
                <c:pt idx="512">
                  <c:v>-18.835245560007362</c:v>
                </c:pt>
                <c:pt idx="513">
                  <c:v>-18.846174549035439</c:v>
                </c:pt>
                <c:pt idx="514">
                  <c:v>-18.856637588843018</c:v>
                </c:pt>
                <c:pt idx="515">
                  <c:v>-18.866653483274291</c:v>
                </c:pt>
                <c:pt idx="516">
                  <c:v>-18.876240366463534</c:v>
                </c:pt>
                <c:pt idx="517">
                  <c:v>-18.885415719141982</c:v>
                </c:pt>
                <c:pt idx="518">
                  <c:v>-18.894196385228174</c:v>
                </c:pt>
                <c:pt idx="519">
                  <c:v>-18.902598588618808</c:v>
                </c:pt>
                <c:pt idx="520">
                  <c:v>-18.910637950111521</c:v>
                </c:pt>
                <c:pt idx="521">
                  <c:v>-18.918329504392521</c:v>
                </c:pt>
                <c:pt idx="522">
                  <c:v>-18.925687717029845</c:v>
                </c:pt>
                <c:pt idx="523">
                  <c:v>-18.93272650141904</c:v>
                </c:pt>
                <c:pt idx="524">
                  <c:v>-18.939459235632135</c:v>
                </c:pt>
                <c:pt idx="525">
                  <c:v>-18.945898779129323</c:v>
                </c:pt>
                <c:pt idx="526">
                  <c:v>-18.952057489291565</c:v>
                </c:pt>
                <c:pt idx="527">
                  <c:v>-18.957947237743667</c:v>
                </c:pt>
                <c:pt idx="528">
                  <c:v>-18.963579426436777</c:v>
                </c:pt>
                <c:pt idx="529">
                  <c:v>-18.968965003463712</c:v>
                </c:pt>
                <c:pt idx="530">
                  <c:v>-18.974114478587765</c:v>
                </c:pt>
                <c:pt idx="531">
                  <c:v>-18.979037938462728</c:v>
                </c:pt>
                <c:pt idx="532">
                  <c:v>-18.983745061531078</c:v>
                </c:pt>
                <c:pt idx="533">
                  <c:v>-18.988245132584744</c:v>
                </c:pt>
                <c:pt idx="534">
                  <c:v>-18.992547056980467</c:v>
                </c:pt>
                <c:pt idx="535">
                  <c:v>-18.996659374499423</c:v>
                </c:pt>
                <c:pt idx="536">
                  <c:v>-19.000590272845482</c:v>
                </c:pt>
                <c:pt idx="537">
                  <c:v>-19.0043476007782</c:v>
                </c:pt>
                <c:pt idx="538">
                  <c:v>-19.007938880877909</c:v>
                </c:pt>
                <c:pt idx="539">
                  <c:v>-19.01137132194097</c:v>
                </c:pt>
                <c:pt idx="540">
                  <c:v>-19.014651831006244</c:v>
                </c:pt>
                <c:pt idx="541">
                  <c:v>-19.017787025014389</c:v>
                </c:pt>
              </c:numCache>
            </c:numRef>
          </c:yVal>
          <c:smooth val="1"/>
          <c:extLst>
            <c:ext xmlns:c16="http://schemas.microsoft.com/office/drawing/2014/chart" uri="{C3380CC4-5D6E-409C-BE32-E72D297353CC}">
              <c16:uniqueId val="{00000000-F11A-4C29-9835-786B9CEC5C6A}"/>
            </c:ext>
          </c:extLst>
        </c:ser>
        <c:dLbls>
          <c:showLegendKey val="0"/>
          <c:showVal val="0"/>
          <c:showCatName val="0"/>
          <c:showSerName val="0"/>
          <c:showPercent val="0"/>
          <c:showBubbleSize val="0"/>
        </c:dLbls>
        <c:axId val="555344640"/>
        <c:axId val="555346560"/>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89.697877099717729</c:v>
                </c:pt>
                <c:pt idx="1">
                  <c:v>89.690841258853951</c:v>
                </c:pt>
                <c:pt idx="2">
                  <c:v>89.683641639859502</c:v>
                </c:pt>
                <c:pt idx="3">
                  <c:v>89.676274435549004</c:v>
                </c:pt>
                <c:pt idx="4">
                  <c:v>89.668735750606615</c:v>
                </c:pt>
                <c:pt idx="5">
                  <c:v>89.66102159957245</c:v>
                </c:pt>
                <c:pt idx="6">
                  <c:v>89.653127904785109</c:v>
                </c:pt>
                <c:pt idx="7">
                  <c:v>89.645050494279019</c:v>
                </c:pt>
                <c:pt idx="8">
                  <c:v>89.636785099636299</c:v>
                </c:pt>
                <c:pt idx="9">
                  <c:v>89.628327353791889</c:v>
                </c:pt>
                <c:pt idx="10">
                  <c:v>89.619672788791163</c:v>
                </c:pt>
                <c:pt idx="11">
                  <c:v>89.610816833499527</c:v>
                </c:pt>
                <c:pt idx="12">
                  <c:v>89.601754811262737</c:v>
                </c:pt>
                <c:pt idx="13">
                  <c:v>89.592481937517235</c:v>
                </c:pt>
                <c:pt idx="14">
                  <c:v>89.582993317349889</c:v>
                </c:pt>
                <c:pt idx="15">
                  <c:v>89.573283943005833</c:v>
                </c:pt>
                <c:pt idx="16">
                  <c:v>89.56334869134416</c:v>
                </c:pt>
                <c:pt idx="17">
                  <c:v>89.553182321240087</c:v>
                </c:pt>
                <c:pt idx="18">
                  <c:v>89.542779470933155</c:v>
                </c:pt>
                <c:pt idx="19">
                  <c:v>89.532134655320519</c:v>
                </c:pt>
                <c:pt idx="20">
                  <c:v>89.521242263194509</c:v>
                </c:pt>
                <c:pt idx="21">
                  <c:v>89.510096554423825</c:v>
                </c:pt>
                <c:pt idx="22">
                  <c:v>89.498691657077416</c:v>
                </c:pt>
                <c:pt idx="23">
                  <c:v>89.487021564490476</c:v>
                </c:pt>
                <c:pt idx="24">
                  <c:v>89.475080132271813</c:v>
                </c:pt>
                <c:pt idx="25">
                  <c:v>89.462861075251851</c:v>
                </c:pt>
                <c:pt idx="26">
                  <c:v>89.450357964370681</c:v>
                </c:pt>
                <c:pt idx="27">
                  <c:v>89.437564223505547</c:v>
                </c:pt>
                <c:pt idx="28">
                  <c:v>89.424473126237231</c:v>
                </c:pt>
                <c:pt idx="29">
                  <c:v>89.411077792554664</c:v>
                </c:pt>
                <c:pt idx="30">
                  <c:v>89.397371185497576</c:v>
                </c:pt>
                <c:pt idx="31">
                  <c:v>89.383346107736557</c:v>
                </c:pt>
                <c:pt idx="32">
                  <c:v>89.368995198090147</c:v>
                </c:pt>
                <c:pt idx="33">
                  <c:v>89.354310927978972</c:v>
                </c:pt>
                <c:pt idx="34">
                  <c:v>89.339285597816442</c:v>
                </c:pt>
                <c:pt idx="35">
                  <c:v>89.323911333335928</c:v>
                </c:pt>
                <c:pt idx="36">
                  <c:v>89.30818008185463</c:v>
                </c:pt>
                <c:pt idx="37">
                  <c:v>89.292083608474016</c:v>
                </c:pt>
                <c:pt idx="38">
                  <c:v>89.275613492216962</c:v>
                </c:pt>
                <c:pt idx="39">
                  <c:v>89.258761122102257</c:v>
                </c:pt>
                <c:pt idx="40">
                  <c:v>89.24151769315651</c:v>
                </c:pt>
                <c:pt idx="41">
                  <c:v>89.223874202364371</c:v>
                </c:pt>
                <c:pt idx="42">
                  <c:v>89.2058214445576</c:v>
                </c:pt>
                <c:pt idx="43">
                  <c:v>89.187350008244252</c:v>
                </c:pt>
                <c:pt idx="44">
                  <c:v>89.168450271378489</c:v>
                </c:pt>
                <c:pt idx="45">
                  <c:v>89.149112397073125</c:v>
                </c:pt>
                <c:pt idx="46">
                  <c:v>89.129326329255619</c:v>
                </c:pt>
                <c:pt idx="47">
                  <c:v>89.109081788270075</c:v>
                </c:pt>
                <c:pt idx="48">
                  <c:v>89.088368266426642</c:v>
                </c:pt>
                <c:pt idx="49">
                  <c:v>89.067175023500965</c:v>
                </c:pt>
                <c:pt idx="50">
                  <c:v>89.045491082186118</c:v>
                </c:pt>
                <c:pt idx="51">
                  <c:v>89.023305223500259</c:v>
                </c:pt>
                <c:pt idx="52">
                  <c:v>89.000605982152749</c:v>
                </c:pt>
                <c:pt idx="53">
                  <c:v>88.977381641872867</c:v>
                </c:pt>
                <c:pt idx="54">
                  <c:v>88.953620230704914</c:v>
                </c:pt>
                <c:pt idx="55">
                  <c:v>88.929309516274415</c:v>
                </c:pt>
                <c:pt idx="56">
                  <c:v>88.904437001029976</c:v>
                </c:pt>
                <c:pt idx="57">
                  <c:v>88.878989917466669</c:v>
                </c:pt>
                <c:pt idx="58">
                  <c:v>88.852955223336792</c:v>
                </c:pt>
                <c:pt idx="59">
                  <c:v>88.826319596854418</c:v>
                </c:pt>
                <c:pt idx="60">
                  <c:v>88.79906943190116</c:v>
                </c:pt>
                <c:pt idx="61">
                  <c:v>88.771190833241008</c:v>
                </c:pt>
                <c:pt idx="62">
                  <c:v>88.742669611752461</c:v>
                </c:pt>
                <c:pt idx="63">
                  <c:v>88.713491279687915</c:v>
                </c:pt>
                <c:pt idx="64">
                  <c:v>88.683641045969864</c:v>
                </c:pt>
                <c:pt idx="65">
                  <c:v>88.653103811535331</c:v>
                </c:pt>
                <c:pt idx="66">
                  <c:v>88.6218641647406</c:v>
                </c:pt>
                <c:pt idx="67">
                  <c:v>88.589906376838627</c:v>
                </c:pt>
                <c:pt idx="68">
                  <c:v>88.557214397544158</c:v>
                </c:pt>
                <c:pt idx="69">
                  <c:v>88.523771850700939</c:v>
                </c:pt>
                <c:pt idx="70">
                  <c:v>88.489562030068001</c:v>
                </c:pt>
                <c:pt idx="71">
                  <c:v>88.454567895242391</c:v>
                </c:pt>
                <c:pt idx="72">
                  <c:v>88.418772067737976</c:v>
                </c:pt>
                <c:pt idx="73">
                  <c:v>88.382156827240635</c:v>
                </c:pt>
                <c:pt idx="74">
                  <c:v>88.344704108062075</c:v>
                </c:pt>
                <c:pt idx="75">
                  <c:v>88.306395495816645</c:v>
                </c:pt>
                <c:pt idx="76">
                  <c:v>88.267212224346267</c:v>
                </c:pt>
                <c:pt idx="77">
                  <c:v>88.227135172921805</c:v>
                </c:pt>
                <c:pt idx="78">
                  <c:v>88.186144863750101</c:v>
                </c:pt>
                <c:pt idx="79">
                  <c:v>88.144221459818951</c:v>
                </c:pt>
                <c:pt idx="80">
                  <c:v>88.101344763113687</c:v>
                </c:pt>
                <c:pt idx="81">
                  <c:v>88.057494213242904</c:v>
                </c:pt>
                <c:pt idx="82">
                  <c:v>88.012648886511371</c:v>
                </c:pt>
                <c:pt idx="83">
                  <c:v>87.966787495483175</c:v>
                </c:pt>
                <c:pt idx="84">
                  <c:v>87.919888389079475</c:v>
                </c:pt>
                <c:pt idx="85">
                  <c:v>87.871929553258738</c:v>
                </c:pt>
                <c:pt idx="86">
                  <c:v>87.822888612330914</c:v>
                </c:pt>
                <c:pt idx="87">
                  <c:v>87.772742830960297</c:v>
                </c:pt>
                <c:pt idx="88">
                  <c:v>87.721469116914605</c:v>
                </c:pt>
                <c:pt idx="89">
                  <c:v>87.669044024623503</c:v>
                </c:pt>
                <c:pt idx="90">
                  <c:v>87.615443759611651</c:v>
                </c:pt>
                <c:pt idx="91">
                  <c:v>87.560644183876832</c:v>
                </c:pt>
                <c:pt idx="92">
                  <c:v>87.504620822288402</c:v>
                </c:pt>
                <c:pt idx="93">
                  <c:v>87.447348870084681</c:v>
                </c:pt>
                <c:pt idx="94">
                  <c:v>87.388803201553728</c:v>
                </c:pt>
                <c:pt idx="95">
                  <c:v>87.328958379987327</c:v>
                </c:pt>
                <c:pt idx="96">
                  <c:v>87.267788669002087</c:v>
                </c:pt>
                <c:pt idx="97">
                  <c:v>87.205268045327813</c:v>
                </c:pt>
                <c:pt idx="98">
                  <c:v>87.141370213169452</c:v>
                </c:pt>
                <c:pt idx="99">
                  <c:v>87.076068620254105</c:v>
                </c:pt>
                <c:pt idx="100">
                  <c:v>87.009336475681096</c:v>
                </c:pt>
                <c:pt idx="101">
                  <c:v>86.94114676969896</c:v>
                </c:pt>
                <c:pt idx="102">
                  <c:v>86.871472295541139</c:v>
                </c:pt>
                <c:pt idx="103">
                  <c:v>86.80028567345687</c:v>
                </c:pt>
                <c:pt idx="104">
                  <c:v>86.727559377082144</c:v>
                </c:pt>
                <c:pt idx="105">
                  <c:v>86.653265762302127</c:v>
                </c:pt>
                <c:pt idx="106">
                  <c:v>86.577377098763208</c:v>
                </c:pt>
                <c:pt idx="107">
                  <c:v>86.499865604200536</c:v>
                </c:pt>
                <c:pt idx="108">
                  <c:v>86.420703481753279</c:v>
                </c:pt>
                <c:pt idx="109">
                  <c:v>86.339862960447817</c:v>
                </c:pt>
                <c:pt idx="110">
                  <c:v>86.257316339036322</c:v>
                </c:pt>
                <c:pt idx="111">
                  <c:v>86.173036033382601</c:v>
                </c:pt>
                <c:pt idx="112">
                  <c:v>86.086994627598457</c:v>
                </c:pt>
                <c:pt idx="113">
                  <c:v>85.999164929135077</c:v>
                </c:pt>
                <c:pt idx="114">
                  <c:v>85.909520028043829</c:v>
                </c:pt>
                <c:pt idx="115">
                  <c:v>85.818033360624071</c:v>
                </c:pt>
                <c:pt idx="116">
                  <c:v>85.724678777682271</c:v>
                </c:pt>
                <c:pt idx="117">
                  <c:v>85.629430617628941</c:v>
                </c:pt>
                <c:pt idx="118">
                  <c:v>85.532263784645181</c:v>
                </c:pt>
                <c:pt idx="119">
                  <c:v>85.433153832151433</c:v>
                </c:pt>
                <c:pt idx="120">
                  <c:v>85.332077051812874</c:v>
                </c:pt>
                <c:pt idx="121">
                  <c:v>85.229010568314948</c:v>
                </c:pt>
                <c:pt idx="122">
                  <c:v>85.123932440141871</c:v>
                </c:pt>
                <c:pt idx="123">
                  <c:v>85.016821766584926</c:v>
                </c:pt>
                <c:pt idx="124">
                  <c:v>84.907658801203183</c:v>
                </c:pt>
                <c:pt idx="125">
                  <c:v>84.796425071952115</c:v>
                </c:pt>
                <c:pt idx="126">
                  <c:v>84.683103508179983</c:v>
                </c:pt>
                <c:pt idx="127">
                  <c:v>84.567678574684564</c:v>
                </c:pt>
                <c:pt idx="128">
                  <c:v>84.450136413000948</c:v>
                </c:pt>
                <c:pt idx="129">
                  <c:v>84.330464990071121</c:v>
                </c:pt>
                <c:pt idx="130">
                  <c:v>84.20865425442517</c:v>
                </c:pt>
                <c:pt idx="131">
                  <c:v>84.084696299968115</c:v>
                </c:pt>
                <c:pt idx="132">
                  <c:v>83.958585537441564</c:v>
                </c:pt>
                <c:pt idx="133">
                  <c:v>83.830318873582215</c:v>
                </c:pt>
                <c:pt idx="134">
                  <c:v>83.699895897962207</c:v>
                </c:pt>
                <c:pt idx="135">
                  <c:v>83.567319077440914</c:v>
                </c:pt>
                <c:pt idx="136">
                  <c:v>83.432593958106651</c:v>
                </c:pt>
                <c:pt idx="137">
                  <c:v>83.295729374520221</c:v>
                </c:pt>
                <c:pt idx="138">
                  <c:v>83.156737666005014</c:v>
                </c:pt>
                <c:pt idx="139">
                  <c:v>83.015634899652341</c:v>
                </c:pt>
                <c:pt idx="140">
                  <c:v>82.872441099624254</c:v>
                </c:pt>
                <c:pt idx="141">
                  <c:v>82.727180482247718</c:v>
                </c:pt>
                <c:pt idx="142">
                  <c:v>82.57988169629283</c:v>
                </c:pt>
                <c:pt idx="143">
                  <c:v>82.430578067722081</c:v>
                </c:pt>
                <c:pt idx="144">
                  <c:v>82.279307848081785</c:v>
                </c:pt>
                <c:pt idx="145">
                  <c:v>82.126114465587534</c:v>
                </c:pt>
                <c:pt idx="146">
                  <c:v>81.971046777824341</c:v>
                </c:pt>
                <c:pt idx="147">
                  <c:v>81.814159324847637</c:v>
                </c:pt>
                <c:pt idx="148">
                  <c:v>81.655512581328594</c:v>
                </c:pt>
                <c:pt idx="149">
                  <c:v>81.495173206244303</c:v>
                </c:pt>
                <c:pt idx="150">
                  <c:v>81.333214288458038</c:v>
                </c:pt>
                <c:pt idx="151">
                  <c:v>81.169715586384115</c:v>
                </c:pt>
                <c:pt idx="152">
                  <c:v>81.004763759780175</c:v>
                </c:pt>
                <c:pt idx="153">
                  <c:v>80.838452591547423</c:v>
                </c:pt>
                <c:pt idx="154">
                  <c:v>80.670883197278926</c:v>
                </c:pt>
                <c:pt idx="155">
                  <c:v>80.502164220142376</c:v>
                </c:pt>
                <c:pt idx="156">
                  <c:v>80.332412008545532</c:v>
                </c:pt>
                <c:pt idx="157">
                  <c:v>80.161750773906235</c:v>
                </c:pt>
                <c:pt idx="158">
                  <c:v>79.990312725734455</c:v>
                </c:pt>
                <c:pt idx="159">
                  <c:v>79.818238181130042</c:v>
                </c:pt>
                <c:pt idx="160">
                  <c:v>79.645675645725817</c:v>
                </c:pt>
                <c:pt idx="161">
                  <c:v>79.472781863049264</c:v>
                </c:pt>
                <c:pt idx="162">
                  <c:v>79.299721829247844</c:v>
                </c:pt>
                <c:pt idx="163">
                  <c:v>79.126668770124482</c:v>
                </c:pt>
                <c:pt idx="164">
                  <c:v>78.953804077470878</c:v>
                </c:pt>
                <c:pt idx="165">
                  <c:v>78.781317201759265</c:v>
                </c:pt>
                <c:pt idx="166">
                  <c:v>78.609405498371686</c:v>
                </c:pt>
                <c:pt idx="167">
                  <c:v>78.43827402470599</c:v>
                </c:pt>
                <c:pt idx="168">
                  <c:v>78.268135285709604</c:v>
                </c:pt>
                <c:pt idx="169">
                  <c:v>78.0992089256452</c:v>
                </c:pt>
                <c:pt idx="170">
                  <c:v>77.93172136420408</c:v>
                </c:pt>
                <c:pt idx="171">
                  <c:v>77.765905375441434</c:v>
                </c:pt>
                <c:pt idx="172">
                  <c:v>77.601999608416236</c:v>
                </c:pt>
                <c:pt idx="173">
                  <c:v>77.440248048878843</c:v>
                </c:pt>
                <c:pt idx="174">
                  <c:v>77.280899421858422</c:v>
                </c:pt>
                <c:pt idx="175">
                  <c:v>77.124206535551195</c:v>
                </c:pt>
                <c:pt idx="176">
                  <c:v>76.970425567504449</c:v>
                </c:pt>
                <c:pt idx="177">
                  <c:v>76.819815294716832</c:v>
                </c:pt>
                <c:pt idx="178">
                  <c:v>76.672636269926031</c:v>
                </c:pt>
                <c:pt idx="179">
                  <c:v>76.52914994703454</c:v>
                </c:pt>
                <c:pt idx="180">
                  <c:v>76.389617759307455</c:v>
                </c:pt>
                <c:pt idx="181">
                  <c:v>76.254300154656548</c:v>
                </c:pt>
                <c:pt idx="182">
                  <c:v>76.123455593012494</c:v>
                </c:pt>
                <c:pt idx="183">
                  <c:v>75.997339511440856</c:v>
                </c:pt>
                <c:pt idx="184">
                  <c:v>75.876203263277461</c:v>
                </c:pt>
                <c:pt idx="185">
                  <c:v>75.760293038153733</c:v>
                </c:pt>
                <c:pt idx="186">
                  <c:v>75.649848770301361</c:v>
                </c:pt>
                <c:pt idx="187">
                  <c:v>75.545103042991613</c:v>
                </c:pt>
                <c:pt idx="188">
                  <c:v>75.446279997349762</c:v>
                </c:pt>
                <c:pt idx="189">
                  <c:v>75.35359425408393</c:v>
                </c:pt>
                <c:pt idx="190">
                  <c:v>75.267249856871942</c:v>
                </c:pt>
                <c:pt idx="191">
                  <c:v>75.18743924624745</c:v>
                </c:pt>
                <c:pt idx="192">
                  <c:v>75.114342272825269</c:v>
                </c:pt>
                <c:pt idx="193">
                  <c:v>75.048125258578978</c:v>
                </c:pt>
                <c:pt idx="194">
                  <c:v>74.98894011465265</c:v>
                </c:pt>
                <c:pt idx="195">
                  <c:v>74.936923523843731</c:v>
                </c:pt>
                <c:pt idx="196">
                  <c:v>74.89219619541872</c:v>
                </c:pt>
                <c:pt idx="197">
                  <c:v>74.85486219937323</c:v>
                </c:pt>
                <c:pt idx="198">
                  <c:v>74.825008386558579</c:v>
                </c:pt>
                <c:pt idx="199">
                  <c:v>74.802703900337733</c:v>
                </c:pt>
                <c:pt idx="200">
                  <c:v>74.787999784591022</c:v>
                </c:pt>
                <c:pt idx="201">
                  <c:v>74.780928691953676</c:v>
                </c:pt>
                <c:pt idx="202">
                  <c:v>74.781504695207843</c:v>
                </c:pt>
                <c:pt idx="203">
                  <c:v>74.789723203711318</c:v>
                </c:pt>
                <c:pt idx="204">
                  <c:v>74.805560985700382</c:v>
                </c:pt>
                <c:pt idx="205">
                  <c:v>74.828976296239119</c:v>
                </c:pt>
                <c:pt idx="206">
                  <c:v>74.859909109520956</c:v>
                </c:pt>
                <c:pt idx="207">
                  <c:v>74.89828145319197</c:v>
                </c:pt>
                <c:pt idx="208">
                  <c:v>74.943997841352171</c:v>
                </c:pt>
                <c:pt idx="209">
                  <c:v>74.996945801940313</c:v>
                </c:pt>
                <c:pt idx="210">
                  <c:v>75.056996493311246</c:v>
                </c:pt>
                <c:pt idx="211">
                  <c:v>75.124005404004834</c:v>
                </c:pt>
                <c:pt idx="212">
                  <c:v>75.197813128971049</c:v>
                </c:pt>
                <c:pt idx="213">
                  <c:v>75.278246214895745</c:v>
                </c:pt>
                <c:pt idx="214">
                  <c:v>75.365118066741218</c:v>
                </c:pt>
                <c:pt idx="215">
                  <c:v>75.458229907201726</c:v>
                </c:pt>
                <c:pt idx="216">
                  <c:v>75.55737178048102</c:v>
                </c:pt>
                <c:pt idx="217">
                  <c:v>75.662323591600654</c:v>
                </c:pt>
                <c:pt idx="218">
                  <c:v>75.772856172394313</c:v>
                </c:pt>
                <c:pt idx="219">
                  <c:v>75.888732365360397</c:v>
                </c:pt>
                <c:pt idx="220">
                  <c:v>76.009708116715913</c:v>
                </c:pt>
                <c:pt idx="221">
                  <c:v>76.135533570215543</c:v>
                </c:pt>
                <c:pt idx="222">
                  <c:v>76.26595415365766</c:v>
                </c:pt>
                <c:pt idx="223">
                  <c:v>76.400711650403849</c:v>
                </c:pt>
                <c:pt idx="224">
                  <c:v>76.539545248737298</c:v>
                </c:pt>
                <c:pt idx="225">
                  <c:v>76.682192562438914</c:v>
                </c:pt>
                <c:pt idx="226">
                  <c:v>76.828390616558892</c:v>
                </c:pt>
                <c:pt idx="227">
                  <c:v>76.977876793004569</c:v>
                </c:pt>
                <c:pt idx="228">
                  <c:v>77.130389731234715</c:v>
                </c:pt>
                <c:pt idx="229">
                  <c:v>77.285670180031246</c:v>
                </c:pt>
                <c:pt idx="230">
                  <c:v>77.443461797003181</c:v>
                </c:pt>
                <c:pt idx="231">
                  <c:v>77.603511893167436</c:v>
                </c:pt>
                <c:pt idx="232">
                  <c:v>77.765572120608581</c:v>
                </c:pt>
                <c:pt idx="233">
                  <c:v>77.929399101866025</c:v>
                </c:pt>
                <c:pt idx="234">
                  <c:v>78.094755000307458</c:v>
                </c:pt>
                <c:pt idx="235">
                  <c:v>78.261408031327719</c:v>
                </c:pt>
                <c:pt idx="236">
                  <c:v>78.429132914735277</c:v>
                </c:pt>
                <c:pt idx="237">
                  <c:v>78.59771126918146</c:v>
                </c:pt>
                <c:pt idx="238">
                  <c:v>78.766931949929756</c:v>
                </c:pt>
                <c:pt idx="239">
                  <c:v>78.936591331639818</c:v>
                </c:pt>
                <c:pt idx="240">
                  <c:v>79.106493538187038</c:v>
                </c:pt>
                <c:pt idx="241">
                  <c:v>79.27645062182043</c:v>
                </c:pt>
                <c:pt idx="242">
                  <c:v>79.446282694197649</c:v>
                </c:pt>
                <c:pt idx="243">
                  <c:v>79.615818012023936</c:v>
                </c:pt>
                <c:pt idx="244">
                  <c:v>79.784893020164574</c:v>
                </c:pt>
                <c:pt idx="245">
                  <c:v>79.953352355197467</c:v>
                </c:pt>
                <c:pt idx="246">
                  <c:v>80.121048812430516</c:v>
                </c:pt>
                <c:pt idx="247">
                  <c:v>80.287843279434782</c:v>
                </c:pt>
                <c:pt idx="248">
                  <c:v>80.453604639125089</c:v>
                </c:pt>
                <c:pt idx="249">
                  <c:v>80.618209645388063</c:v>
                </c:pt>
                <c:pt idx="250">
                  <c:v>80.781542774182242</c:v>
                </c:pt>
                <c:pt idx="251">
                  <c:v>80.943496052955396</c:v>
                </c:pt>
                <c:pt idx="252">
                  <c:v>81.103968871112031</c:v>
                </c:pt>
                <c:pt idx="253">
                  <c:v>81.262867774136481</c:v>
                </c:pt>
                <c:pt idx="254">
                  <c:v>81.420106243860786</c:v>
                </c:pt>
                <c:pt idx="255">
                  <c:v>81.575604467199739</c:v>
                </c:pt>
                <c:pt idx="256">
                  <c:v>81.729289095543635</c:v>
                </c:pt>
                <c:pt idx="257">
                  <c:v>81.881092996839513</c:v>
                </c:pt>
                <c:pt idx="258">
                  <c:v>82.03095500223327</c:v>
                </c:pt>
                <c:pt idx="259">
                  <c:v>82.178819648997035</c:v>
                </c:pt>
                <c:pt idx="260">
                  <c:v>82.32463692130429</c:v>
                </c:pt>
                <c:pt idx="261">
                  <c:v>82.468361990274133</c:v>
                </c:pt>
                <c:pt idx="262">
                  <c:v>82.609954954551313</c:v>
                </c:pt>
                <c:pt idx="263">
                  <c:v>82.749380582558999</c:v>
                </c:pt>
                <c:pt idx="264">
                  <c:v>82.886608057413909</c:v>
                </c:pt>
                <c:pt idx="265">
                  <c:v>83.021610725381478</c:v>
                </c:pt>
                <c:pt idx="266">
                  <c:v>83.154365848613523</c:v>
                </c:pt>
                <c:pt idx="267">
                  <c:v>83.284854362811913</c:v>
                </c:pt>
                <c:pt idx="268">
                  <c:v>83.413060640346501</c:v>
                </c:pt>
                <c:pt idx="269">
                  <c:v>83.538972259261911</c:v>
                </c:pt>
                <c:pt idx="270">
                  <c:v>83.662579778523721</c:v>
                </c:pt>
                <c:pt idx="271">
                  <c:v>83.783876519759374</c:v>
                </c:pt>
                <c:pt idx="272">
                  <c:v>83.902858355688167</c:v>
                </c:pt>
                <c:pt idx="273">
                  <c:v>84.019523505357654</c:v>
                </c:pt>
                <c:pt idx="274">
                  <c:v>84.133872336245048</c:v>
                </c:pt>
                <c:pt idx="275">
                  <c:v>84.245907173229497</c:v>
                </c:pt>
                <c:pt idx="276">
                  <c:v>84.355632114387205</c:v>
                </c:pt>
                <c:pt idx="277">
                  <c:v>84.463052853525355</c:v>
                </c:pt>
                <c:pt idx="278">
                  <c:v>84.568176509325141</c:v>
                </c:pt>
                <c:pt idx="279">
                  <c:v>84.671011460937308</c:v>
                </c:pt>
                <c:pt idx="280">
                  <c:v>84.771567189842386</c:v>
                </c:pt>
                <c:pt idx="281">
                  <c:v>84.869854127765223</c:v>
                </c:pt>
                <c:pt idx="282">
                  <c:v>84.965883510410976</c:v>
                </c:pt>
                <c:pt idx="283">
                  <c:v>85.059667236776619</c:v>
                </c:pt>
                <c:pt idx="284">
                  <c:v>85.151217733776718</c:v>
                </c:pt>
                <c:pt idx="285">
                  <c:v>85.24054782591098</c:v>
                </c:pt>
                <c:pt idx="286">
                  <c:v>85.327670609697464</c:v>
                </c:pt>
                <c:pt idx="287">
                  <c:v>85.412599332587178</c:v>
                </c:pt>
                <c:pt idx="288">
                  <c:v>85.495347276075336</c:v>
                </c:pt>
                <c:pt idx="289">
                  <c:v>85.57592764272114</c:v>
                </c:pt>
                <c:pt idx="290">
                  <c:v>85.654353446797145</c:v>
                </c:pt>
                <c:pt idx="291">
                  <c:v>85.730637408282078</c:v>
                </c:pt>
                <c:pt idx="292">
                  <c:v>85.80479184992771</c:v>
                </c:pt>
                <c:pt idx="293">
                  <c:v>85.876828597127513</c:v>
                </c:pt>
                <c:pt idx="294">
                  <c:v>85.946758880331856</c:v>
                </c:pt>
                <c:pt idx="295">
                  <c:v>86.014593239758625</c:v>
                </c:pt>
                <c:pt idx="296">
                  <c:v>86.080341432161305</c:v>
                </c:pt>
                <c:pt idx="297">
                  <c:v>86.144012339435307</c:v>
                </c:pt>
                <c:pt idx="298">
                  <c:v>86.20561387884652</c:v>
                </c:pt>
                <c:pt idx="299">
                  <c:v>86.265152914694426</c:v>
                </c:pt>
                <c:pt idx="300">
                  <c:v>86.32263517123171</c:v>
                </c:pt>
                <c:pt idx="301">
                  <c:v>86.378065146684307</c:v>
                </c:pt>
                <c:pt idx="302">
                  <c:v>86.4314460282352</c:v>
                </c:pt>
                <c:pt idx="303">
                  <c:v>86.482779607861559</c:v>
                </c:pt>
                <c:pt idx="304">
                  <c:v>86.532066198930607</c:v>
                </c:pt>
                <c:pt idx="305">
                  <c:v>86.579304553496058</c:v>
                </c:pt>
                <c:pt idx="306">
                  <c:v>86.624491780252384</c:v>
                </c:pt>
                <c:pt idx="307">
                  <c:v>86.667623263145217</c:v>
                </c:pt>
                <c:pt idx="308">
                  <c:v>86.70869258065477</c:v>
                </c:pt>
                <c:pt idx="309">
                  <c:v>86.747691425813215</c:v>
                </c:pt>
                <c:pt idx="310">
                  <c:v>86.784609527043202</c:v>
                </c:pt>
                <c:pt idx="311">
                  <c:v>86.819434569941635</c:v>
                </c:pt>
                <c:pt idx="312">
                  <c:v>86.852152120176498</c:v>
                </c:pt>
                <c:pt idx="313">
                  <c:v>86.882745547693972</c:v>
                </c:pt>
                <c:pt idx="314">
                  <c:v>86.911195952481123</c:v>
                </c:pt>
                <c:pt idx="315">
                  <c:v>86.937482092166732</c:v>
                </c:pt>
                <c:pt idx="316">
                  <c:v>86.961580311787088</c:v>
                </c:pt>
                <c:pt idx="317">
                  <c:v>86.983464476083853</c:v>
                </c:pt>
                <c:pt idx="318">
                  <c:v>87.003105904746405</c:v>
                </c:pt>
                <c:pt idx="319">
                  <c:v>87.020473311051717</c:v>
                </c:pt>
                <c:pt idx="320">
                  <c:v>87.035532744398424</c:v>
                </c:pt>
                <c:pt idx="321">
                  <c:v>87.048247537267656</c:v>
                </c:pt>
                <c:pt idx="322">
                  <c:v>87.058578257187094</c:v>
                </c:pt>
                <c:pt idx="323">
                  <c:v>87.066482664303138</c:v>
                </c:pt>
                <c:pt idx="324">
                  <c:v>87.071915675204565</c:v>
                </c:pt>
                <c:pt idx="325">
                  <c:v>87.07482933365651</c:v>
                </c:pt>
                <c:pt idx="326">
                  <c:v>87.075172788943149</c:v>
                </c:pt>
                <c:pt idx="327">
                  <c:v>87.072892282504668</c:v>
                </c:pt>
                <c:pt idx="328">
                  <c:v>87.067931143591693</c:v>
                </c:pt>
                <c:pt idx="329">
                  <c:v>87.060229794630914</c:v>
                </c:pt>
                <c:pt idx="330">
                  <c:v>87.049725767002343</c:v>
                </c:pt>
                <c:pt idx="331">
                  <c:v>87.03635372789806</c:v>
                </c:pt>
                <c:pt idx="332">
                  <c:v>87.020045518895643</c:v>
                </c:pt>
                <c:pt idx="333">
                  <c:v>87.000730206842519</c:v>
                </c:pt>
                <c:pt idx="334">
                  <c:v>86.978334147574358</c:v>
                </c:pt>
                <c:pt idx="335">
                  <c:v>86.952781062927983</c:v>
                </c:pt>
                <c:pt idx="336">
                  <c:v>86.923992131409861</c:v>
                </c:pt>
                <c:pt idx="337">
                  <c:v>86.891886092793186</c:v>
                </c:pt>
                <c:pt idx="338">
                  <c:v>86.85637936677665</c:v>
                </c:pt>
                <c:pt idx="339">
                  <c:v>86.817386185734819</c:v>
                </c:pt>
                <c:pt idx="340">
                  <c:v>86.774818741420503</c:v>
                </c:pt>
                <c:pt idx="341">
                  <c:v>86.728587345339832</c:v>
                </c:pt>
                <c:pt idx="342">
                  <c:v>86.678600602348467</c:v>
                </c:pt>
                <c:pt idx="343">
                  <c:v>86.624765596841016</c:v>
                </c:pt>
                <c:pt idx="344">
                  <c:v>86.566988090731314</c:v>
                </c:pt>
                <c:pt idx="345">
                  <c:v>86.505172732229411</c:v>
                </c:pt>
                <c:pt idx="346">
                  <c:v>86.439223274247411</c:v>
                </c:pt>
                <c:pt idx="347">
                  <c:v>86.36904280107251</c:v>
                </c:pt>
                <c:pt idx="348">
                  <c:v>86.294533961784708</c:v>
                </c:pt>
                <c:pt idx="349">
                  <c:v>86.215599208725507</c:v>
                </c:pt>
                <c:pt idx="350">
                  <c:v>86.132141039180269</c:v>
                </c:pt>
                <c:pt idx="351">
                  <c:v>86.044062238303823</c:v>
                </c:pt>
                <c:pt idx="352">
                  <c:v>85.951266121213351</c:v>
                </c:pt>
                <c:pt idx="353">
                  <c:v>85.853656772093885</c:v>
                </c:pt>
                <c:pt idx="354">
                  <c:v>85.751139278104375</c:v>
                </c:pt>
                <c:pt idx="355">
                  <c:v>85.64361995586043</c:v>
                </c:pt>
                <c:pt idx="356">
                  <c:v>85.531006568274904</c:v>
                </c:pt>
                <c:pt idx="357">
                  <c:v>85.41320852959916</c:v>
                </c:pt>
                <c:pt idx="358">
                  <c:v>85.290137096583237</c:v>
                </c:pt>
                <c:pt idx="359">
                  <c:v>85.161705543810328</c:v>
                </c:pt>
                <c:pt idx="360">
                  <c:v>85.027829321406472</c:v>
                </c:pt>
                <c:pt idx="361">
                  <c:v>84.888426193534869</c:v>
                </c:pt>
                <c:pt idx="362">
                  <c:v>84.743416356296407</c:v>
                </c:pt>
                <c:pt idx="363">
                  <c:v>84.592722533924899</c:v>
                </c:pt>
                <c:pt idx="364">
                  <c:v>84.436270052430331</c:v>
                </c:pt>
                <c:pt idx="365">
                  <c:v>84.273986890154703</c:v>
                </c:pt>
                <c:pt idx="366">
                  <c:v>84.105803705002131</c:v>
                </c:pt>
                <c:pt idx="367">
                  <c:v>83.931653838435309</c:v>
                </c:pt>
                <c:pt idx="368">
                  <c:v>83.751473296646736</c:v>
                </c:pt>
                <c:pt idx="369">
                  <c:v>83.565200709638077</c:v>
                </c:pt>
                <c:pt idx="370">
                  <c:v>83.372777269240217</c:v>
                </c:pt>
                <c:pt idx="371">
                  <c:v>83.174146647406062</c:v>
                </c:pt>
                <c:pt idx="372">
                  <c:v>82.969254896392059</c:v>
                </c:pt>
                <c:pt idx="373">
                  <c:v>82.758050332669825</c:v>
                </c:pt>
                <c:pt idx="374">
                  <c:v>82.540483406653678</c:v>
                </c:pt>
                <c:pt idx="375">
                  <c:v>82.316506560507378</c:v>
                </c:pt>
                <c:pt idx="376">
                  <c:v>82.086074076437498</c:v>
                </c:pt>
                <c:pt idx="377">
                  <c:v>81.84914191802369</c:v>
                </c:pt>
                <c:pt idx="378">
                  <c:v>81.60566756718471</c:v>
                </c:pt>
                <c:pt idx="379">
                  <c:v>81.355609859453395</c:v>
                </c:pt>
                <c:pt idx="380">
                  <c:v>81.098928820215463</c:v>
                </c:pt>
                <c:pt idx="381">
                  <c:v>80.835585504560058</c:v>
                </c:pt>
                <c:pt idx="382">
                  <c:v>80.565541843317689</c:v>
                </c:pt>
                <c:pt idx="383">
                  <c:v>80.288760497779094</c:v>
                </c:pt>
                <c:pt idx="384">
                  <c:v>80.005204725479516</c:v>
                </c:pt>
                <c:pt idx="385">
                  <c:v>79.714838259274643</c:v>
                </c:pt>
                <c:pt idx="386">
                  <c:v>79.417625201806246</c:v>
                </c:pt>
                <c:pt idx="387">
                  <c:v>79.113529937258505</c:v>
                </c:pt>
                <c:pt idx="388">
                  <c:v>78.802517062133845</c:v>
                </c:pt>
                <c:pt idx="389">
                  <c:v>78.484551336581077</c:v>
                </c:pt>
                <c:pt idx="390">
                  <c:v>78.159597657604436</c:v>
                </c:pt>
                <c:pt idx="391">
                  <c:v>77.827621055294514</c:v>
                </c:pt>
                <c:pt idx="392">
                  <c:v>77.48858671299628</c:v>
                </c:pt>
                <c:pt idx="393">
                  <c:v>77.142460012163852</c:v>
                </c:pt>
                <c:pt idx="394">
                  <c:v>76.789206602420521</c:v>
                </c:pt>
                <c:pt idx="395">
                  <c:v>76.428792497183395</c:v>
                </c:pt>
                <c:pt idx="396">
                  <c:v>76.061184195009758</c:v>
                </c:pt>
                <c:pt idx="397">
                  <c:v>75.686348826656101</c:v>
                </c:pt>
                <c:pt idx="398">
                  <c:v>75.304254327672396</c:v>
                </c:pt>
                <c:pt idx="399">
                  <c:v>74.914869636184136</c:v>
                </c:pt>
                <c:pt idx="400">
                  <c:v>74.518164915378932</c:v>
                </c:pt>
                <c:pt idx="401">
                  <c:v>74.11411180004545</c:v>
                </c:pt>
                <c:pt idx="402">
                  <c:v>73.702683666390556</c:v>
                </c:pt>
                <c:pt idx="403">
                  <c:v>73.283855924212034</c:v>
                </c:pt>
                <c:pt idx="404">
                  <c:v>72.85760633037529</c:v>
                </c:pt>
                <c:pt idx="405">
                  <c:v>72.423915322414231</c:v>
                </c:pt>
                <c:pt idx="406">
                  <c:v>71.982766370945342</c:v>
                </c:pt>
                <c:pt idx="407">
                  <c:v>71.534146349458439</c:v>
                </c:pt>
                <c:pt idx="408">
                  <c:v>71.07804591992462</c:v>
                </c:pt>
                <c:pt idx="409">
                  <c:v>70.61445993252309</c:v>
                </c:pt>
                <c:pt idx="410">
                  <c:v>70.143387837673103</c:v>
                </c:pt>
                <c:pt idx="411">
                  <c:v>69.664834108422269</c:v>
                </c:pt>
                <c:pt idx="412">
                  <c:v>69.178808671104136</c:v>
                </c:pt>
                <c:pt idx="413">
                  <c:v>68.685327342060503</c:v>
                </c:pt>
                <c:pt idx="414">
                  <c:v>68.184412268075533</c:v>
                </c:pt>
                <c:pt idx="415">
                  <c:v>67.676092368051485</c:v>
                </c:pt>
                <c:pt idx="416">
                  <c:v>67.160403773308815</c:v>
                </c:pt>
                <c:pt idx="417">
                  <c:v>66.637390263783843</c:v>
                </c:pt>
                <c:pt idx="418">
                  <c:v>66.107103697260641</c:v>
                </c:pt>
                <c:pt idx="419">
                  <c:v>65.569604428665855</c:v>
                </c:pt>
                <c:pt idx="420">
                  <c:v>65.024961716348159</c:v>
                </c:pt>
                <c:pt idx="421">
                  <c:v>64.473254112168732</c:v>
                </c:pt>
                <c:pt idx="422">
                  <c:v>63.914569832156694</c:v>
                </c:pt>
                <c:pt idx="423">
                  <c:v>63.349007104416181</c:v>
                </c:pt>
                <c:pt idx="424">
                  <c:v>62.776674490938746</c:v>
                </c:pt>
                <c:pt idx="425">
                  <c:v>62.19769117996627</c:v>
                </c:pt>
                <c:pt idx="426">
                  <c:v>61.612187245543169</c:v>
                </c:pt>
                <c:pt idx="427">
                  <c:v>61.020303870974239</c:v>
                </c:pt>
                <c:pt idx="428">
                  <c:v>60.422193532955916</c:v>
                </c:pt>
                <c:pt idx="429">
                  <c:v>59.818020143269095</c:v>
                </c:pt>
                <c:pt idx="430">
                  <c:v>59.207959145100673</c:v>
                </c:pt>
                <c:pt idx="431">
                  <c:v>58.592197561211648</c:v>
                </c:pt>
                <c:pt idx="432">
                  <c:v>57.970933991448987</c:v>
                </c:pt>
                <c:pt idx="433">
                  <c:v>57.344378557343319</c:v>
                </c:pt>
                <c:pt idx="434">
                  <c:v>56.71275279187364</c:v>
                </c:pt>
                <c:pt idx="435">
                  <c:v>56.076289472833189</c:v>
                </c:pt>
                <c:pt idx="436">
                  <c:v>55.435232398617117</c:v>
                </c:pt>
                <c:pt idx="437">
                  <c:v>54.789836105711686</c:v>
                </c:pt>
                <c:pt idx="438">
                  <c:v>54.140365527601965</c:v>
                </c:pt>
                <c:pt idx="439">
                  <c:v>53.487095595320362</c:v>
                </c:pt>
                <c:pt idx="440">
                  <c:v>52.830310780376358</c:v>
                </c:pt>
                <c:pt idx="441">
                  <c:v>52.170304581317964</c:v>
                </c:pt>
                <c:pt idx="442">
                  <c:v>51.507378955733458</c:v>
                </c:pt>
                <c:pt idx="443">
                  <c:v>50.841843700015701</c:v>
                </c:pt>
                <c:pt idx="444">
                  <c:v>50.174015779763046</c:v>
                </c:pt>
                <c:pt idx="445">
                  <c:v>49.504218614181951</c:v>
                </c:pt>
                <c:pt idx="446">
                  <c:v>48.83278131835911</c:v>
                </c:pt>
                <c:pt idx="447">
                  <c:v>48.160037907725759</c:v>
                </c:pt>
                <c:pt idx="448">
                  <c:v>47.486326469438787</c:v>
                </c:pt>
                <c:pt idx="449">
                  <c:v>46.811988305791864</c:v>
                </c:pt>
                <c:pt idx="450">
                  <c:v>46.137367055063898</c:v>
                </c:pt>
                <c:pt idx="451">
                  <c:v>45.46280779547584</c:v>
                </c:pt>
                <c:pt idx="452">
                  <c:v>44.788656138110447</c:v>
                </c:pt>
                <c:pt idx="453">
                  <c:v>44.115257314766751</c:v>
                </c:pt>
                <c:pt idx="454">
                  <c:v>43.442955266776664</c:v>
                </c:pt>
                <c:pt idx="455">
                  <c:v>42.772091740775082</c:v>
                </c:pt>
                <c:pt idx="456">
                  <c:v>42.10300539733614</c:v>
                </c:pt>
                <c:pt idx="457">
                  <c:v>41.436030938204816</c:v>
                </c:pt>
                <c:pt idx="458">
                  <c:v>40.771498257637823</c:v>
                </c:pt>
                <c:pt idx="459">
                  <c:v>40.109731623069521</c:v>
                </c:pt>
                <c:pt idx="460">
                  <c:v>39.451048889966529</c:v>
                </c:pt>
                <c:pt idx="461">
                  <c:v>38.795760755335095</c:v>
                </c:pt>
                <c:pt idx="462">
                  <c:v>38.144170053911651</c:v>
                </c:pt>
                <c:pt idx="463">
                  <c:v>37.496571100577334</c:v>
                </c:pt>
                <c:pt idx="464">
                  <c:v>36.853249082037976</c:v>
                </c:pt>
                <c:pt idx="465">
                  <c:v>36.214479500295447</c:v>
                </c:pt>
                <c:pt idx="466">
                  <c:v>35.580527669883786</c:v>
                </c:pt>
                <c:pt idx="467">
                  <c:v>34.951648270335724</c:v>
                </c:pt>
                <c:pt idx="468">
                  <c:v>34.328084954789823</c:v>
                </c:pt>
                <c:pt idx="469">
                  <c:v>33.71007001515126</c:v>
                </c:pt>
                <c:pt idx="470">
                  <c:v>33.097824103717258</c:v>
                </c:pt>
                <c:pt idx="471">
                  <c:v>32.49155601070472</c:v>
                </c:pt>
                <c:pt idx="472">
                  <c:v>31.89146249669183</c:v>
                </c:pt>
                <c:pt idx="473">
                  <c:v>31.297728178566683</c:v>
                </c:pt>
                <c:pt idx="474">
                  <c:v>30.710525467225214</c:v>
                </c:pt>
                <c:pt idx="475">
                  <c:v>30.130014554930618</c:v>
                </c:pt>
                <c:pt idx="476">
                  <c:v>29.556343449970562</c:v>
                </c:pt>
                <c:pt idx="477">
                  <c:v>28.989648056005134</c:v>
                </c:pt>
                <c:pt idx="478">
                  <c:v>28.430052293316074</c:v>
                </c:pt>
                <c:pt idx="479">
                  <c:v>27.877668259003595</c:v>
                </c:pt>
                <c:pt idx="480">
                  <c:v>27.332596423080599</c:v>
                </c:pt>
                <c:pt idx="481">
                  <c:v>26.794925857333087</c:v>
                </c:pt>
                <c:pt idx="482">
                  <c:v>26.264734493786928</c:v>
                </c:pt>
                <c:pt idx="483">
                  <c:v>25.742089409620124</c:v>
                </c:pt>
                <c:pt idx="484">
                  <c:v>25.227047135394454</c:v>
                </c:pt>
                <c:pt idx="485">
                  <c:v>24.719653983526669</c:v>
                </c:pt>
                <c:pt idx="486">
                  <c:v>24.219946394025083</c:v>
                </c:pt>
                <c:pt idx="487">
                  <c:v>23.727951294593876</c:v>
                </c:pt>
                <c:pt idx="488">
                  <c:v>23.243686472357734</c:v>
                </c:pt>
                <c:pt idx="489">
                  <c:v>22.767160954572216</c:v>
                </c:pt>
                <c:pt idx="490">
                  <c:v>22.298375395849668</c:v>
                </c:pt>
                <c:pt idx="491">
                  <c:v>21.837322469582556</c:v>
                </c:pt>
                <c:pt idx="492">
                  <c:v>21.383987261402847</c:v>
                </c:pt>
                <c:pt idx="493">
                  <c:v>20.938347662695701</c:v>
                </c:pt>
                <c:pt idx="494">
                  <c:v>20.500374762337341</c:v>
                </c:pt>
                <c:pt idx="495">
                  <c:v>20.070033235012509</c:v>
                </c:pt>
                <c:pt idx="496">
                  <c:v>19.647281724610348</c:v>
                </c:pt>
                <c:pt idx="497">
                  <c:v>19.232073221378119</c:v>
                </c:pt>
                <c:pt idx="498">
                  <c:v>18.824355431655501</c:v>
                </c:pt>
                <c:pt idx="499">
                  <c:v>18.424071139162727</c:v>
                </c:pt>
                <c:pt idx="500">
                  <c:v>18.031158556966105</c:v>
                </c:pt>
                <c:pt idx="501">
                  <c:v>17.645551669365744</c:v>
                </c:pt>
                <c:pt idx="502">
                  <c:v>17.267180563091415</c:v>
                </c:pt>
                <c:pt idx="503">
                  <c:v>16.895971747297505</c:v>
                </c:pt>
                <c:pt idx="504">
                  <c:v>16.531848461966959</c:v>
                </c:pt>
                <c:pt idx="505">
                  <c:v>16.174730974430446</c:v>
                </c:pt>
                <c:pt idx="506">
                  <c:v>15.824536863799111</c:v>
                </c:pt>
                <c:pt idx="507">
                  <c:v>15.481181293195755</c:v>
                </c:pt>
                <c:pt idx="508">
                  <c:v>15.144577269741738</c:v>
                </c:pt>
                <c:pt idx="509">
                  <c:v>14.814635892329546</c:v>
                </c:pt>
                <c:pt idx="510">
                  <c:v>14.491266587264892</c:v>
                </c:pt>
                <c:pt idx="511">
                  <c:v>14.174377331921841</c:v>
                </c:pt>
                <c:pt idx="512">
                  <c:v>13.863874866596682</c:v>
                </c:pt>
                <c:pt idx="513">
                  <c:v>13.559664894788302</c:v>
                </c:pt>
                <c:pt idx="514">
                  <c:v>13.261652272168106</c:v>
                </c:pt>
                <c:pt idx="515">
                  <c:v>12.969741184527448</c:v>
                </c:pt>
                <c:pt idx="516">
                  <c:v>12.683835315021222</c:v>
                </c:pt>
                <c:pt idx="517">
                  <c:v>12.403838001036975</c:v>
                </c:pt>
                <c:pt idx="518">
                  <c:v>12.129652381043064</c:v>
                </c:pt>
                <c:pt idx="519">
                  <c:v>11.861181531773976</c:v>
                </c:pt>
                <c:pt idx="520">
                  <c:v>11.598328596121542</c:v>
                </c:pt>
                <c:pt idx="521">
                  <c:v>11.340996902106504</c:v>
                </c:pt>
                <c:pt idx="522">
                  <c:v>11.08909007330508</c:v>
                </c:pt>
                <c:pt idx="523">
                  <c:v>10.842512131107794</c:v>
                </c:pt>
                <c:pt idx="524">
                  <c:v>10.601167589181481</c:v>
                </c:pt>
                <c:pt idx="525">
                  <c:v>10.364961540506483</c:v>
                </c:pt>
                <c:pt idx="526">
                  <c:v>10.133799737351239</c:v>
                </c:pt>
                <c:pt idx="527">
                  <c:v>9.9075886645408691</c:v>
                </c:pt>
                <c:pt idx="528">
                  <c:v>9.6862356063707384</c:v>
                </c:pt>
                <c:pt idx="529">
                  <c:v>9.4696487075005837</c:v>
                </c:pt>
                <c:pt idx="530">
                  <c:v>9.2577370281648239</c:v>
                </c:pt>
                <c:pt idx="531">
                  <c:v>9.0504105940131918</c:v>
                </c:pt>
                <c:pt idx="532">
                  <c:v>8.8475804408953191</c:v>
                </c:pt>
                <c:pt idx="533">
                  <c:v>8.6491586548831894</c:v>
                </c:pt>
                <c:pt idx="534">
                  <c:v>8.4550584078208253</c:v>
                </c:pt>
                <c:pt idx="535">
                  <c:v>8.2651939886745289</c:v>
                </c:pt>
                <c:pt idx="536">
                  <c:v>8.0794808309478334</c:v>
                </c:pt>
                <c:pt idx="537">
                  <c:v>7.8978355364123711</c:v>
                </c:pt>
                <c:pt idx="538">
                  <c:v>7.7201758953964443</c:v>
                </c:pt>
                <c:pt idx="539">
                  <c:v>7.5464209038591248</c:v>
                </c:pt>
                <c:pt idx="540">
                  <c:v>7.3764907774692121</c:v>
                </c:pt>
                <c:pt idx="541">
                  <c:v>7.2103069628963974</c:v>
                </c:pt>
              </c:numCache>
            </c:numRef>
          </c:yVal>
          <c:smooth val="1"/>
          <c:extLst>
            <c:ext xmlns:c16="http://schemas.microsoft.com/office/drawing/2014/chart" uri="{C3380CC4-5D6E-409C-BE32-E72D297353CC}">
              <c16:uniqueId val="{00000001-F11A-4C29-9835-786B9CEC5C6A}"/>
            </c:ext>
          </c:extLst>
        </c:ser>
        <c:dLbls>
          <c:showLegendKey val="0"/>
          <c:showVal val="0"/>
          <c:showCatName val="0"/>
          <c:showSerName val="0"/>
          <c:showPercent val="0"/>
          <c:showBubbleSize val="0"/>
        </c:dLbls>
        <c:axId val="555497728"/>
        <c:axId val="555496192"/>
      </c:scatterChart>
      <c:valAx>
        <c:axId val="555344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46560"/>
        <c:crosses val="autoZero"/>
        <c:crossBetween val="midCat"/>
      </c:valAx>
      <c:valAx>
        <c:axId val="55534656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555344640"/>
        <c:crosses val="autoZero"/>
        <c:crossBetween val="midCat"/>
        <c:majorUnit val="20"/>
        <c:minorUnit val="10"/>
      </c:valAx>
      <c:valAx>
        <c:axId val="5554961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555497728"/>
        <c:crosses val="max"/>
        <c:crossBetween val="midCat"/>
        <c:majorUnit val="90"/>
        <c:minorUnit val="45"/>
      </c:valAx>
      <c:valAx>
        <c:axId val="555497728"/>
        <c:scaling>
          <c:logBase val="10"/>
          <c:orientation val="minMax"/>
        </c:scaling>
        <c:delete val="1"/>
        <c:axPos val="b"/>
        <c:numFmt formatCode="0.00" sourceLinked="1"/>
        <c:majorTickMark val="out"/>
        <c:minorTickMark val="none"/>
        <c:tickLblPos val="nextTo"/>
        <c:crossAx val="5554961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H$8" max="45" noThreeD="1" page="10" val="12"/>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5.png"/><Relationship Id="rId7" Type="http://schemas.openxmlformats.org/officeDocument/2006/relationships/chart" Target="../charts/chart9.xml"/><Relationship Id="rId2" Type="http://schemas.openxmlformats.org/officeDocument/2006/relationships/image" Target="../media/image4.png"/><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9</xdr:col>
      <xdr:colOff>75154</xdr:colOff>
      <xdr:row>45</xdr:row>
      <xdr:rowOff>164353</xdr:rowOff>
    </xdr:from>
    <xdr:to>
      <xdr:col>25</xdr:col>
      <xdr:colOff>478118</xdr:colOff>
      <xdr:row>69</xdr:row>
      <xdr:rowOff>182732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7</xdr:col>
          <xdr:colOff>561975</xdr:colOff>
          <xdr:row>53</xdr:row>
          <xdr:rowOff>0</xdr:rowOff>
        </xdr:from>
        <xdr:to>
          <xdr:col>8</xdr:col>
          <xdr:colOff>9525</xdr:colOff>
          <xdr:row>55</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508019</xdr:colOff>
      <xdr:row>45</xdr:row>
      <xdr:rowOff>55281</xdr:rowOff>
    </xdr:from>
    <xdr:to>
      <xdr:col>16</xdr:col>
      <xdr:colOff>237584</xdr:colOff>
      <xdr:row>47</xdr:row>
      <xdr:rowOff>124011</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710725" y="9453281"/>
          <a:ext cx="954741"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16</xdr:col>
      <xdr:colOff>77712</xdr:colOff>
      <xdr:row>45</xdr:row>
      <xdr:rowOff>64247</xdr:rowOff>
    </xdr:from>
    <xdr:to>
      <xdr:col>17</xdr:col>
      <xdr:colOff>409405</xdr:colOff>
      <xdr:row>47</xdr:row>
      <xdr:rowOff>132978</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9505594" y="9462247"/>
          <a:ext cx="944282" cy="4870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12</a:t>
          </a:fld>
          <a:endParaRPr lang="en-US" sz="2400"/>
        </a:p>
      </xdr:txBody>
    </xdr:sp>
    <xdr:clientData/>
  </xdr:twoCellAnchor>
  <xdr:twoCellAnchor>
    <xdr:from>
      <xdr:col>17</xdr:col>
      <xdr:colOff>152439</xdr:colOff>
      <xdr:row>45</xdr:row>
      <xdr:rowOff>55281</xdr:rowOff>
    </xdr:from>
    <xdr:to>
      <xdr:col>18</xdr:col>
      <xdr:colOff>505051</xdr:colOff>
      <xdr:row>47</xdr:row>
      <xdr:rowOff>124011</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0192910" y="9453281"/>
          <a:ext cx="965200"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9</xdr:col>
      <xdr:colOff>49696</xdr:colOff>
      <xdr:row>71</xdr:row>
      <xdr:rowOff>55217</xdr:rowOff>
    </xdr:from>
    <xdr:to>
      <xdr:col>25</xdr:col>
      <xdr:colOff>480392</xdr:colOff>
      <xdr:row>93</xdr:row>
      <xdr:rowOff>82826</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118899</xdr:colOff>
      <xdr:row>71</xdr:row>
      <xdr:rowOff>71846</xdr:rowOff>
    </xdr:from>
    <xdr:to>
      <xdr:col>15</xdr:col>
      <xdr:colOff>466899</xdr:colOff>
      <xdr:row>73</xdr:row>
      <xdr:rowOff>79838</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390464" y="14621629"/>
          <a:ext cx="966435"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307027</xdr:colOff>
      <xdr:row>71</xdr:row>
      <xdr:rowOff>80812</xdr:rowOff>
    </xdr:from>
    <xdr:to>
      <xdr:col>17</xdr:col>
      <xdr:colOff>20285</xdr:colOff>
      <xdr:row>73</xdr:row>
      <xdr:rowOff>88805</xdr:rowOff>
    </xdr:to>
    <xdr:sp macro="" textlink="VIN_nom">
      <xdr:nvSpPr>
        <xdr:cNvPr id="9" name="TextBox 8">
          <a:extLst>
            <a:ext uri="{FF2B5EF4-FFF2-40B4-BE49-F238E27FC236}">
              <a16:creationId xmlns:a16="http://schemas.microsoft.com/office/drawing/2014/main" id="{00000000-0008-0000-0000-000009000000}"/>
            </a:ext>
          </a:extLst>
        </xdr:cNvPr>
        <xdr:cNvSpPr txBox="1"/>
      </xdr:nvSpPr>
      <xdr:spPr>
        <a:xfrm>
          <a:off x="9197027" y="14630595"/>
          <a:ext cx="950128" cy="4883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cs typeface="Calibri"/>
            </a:rPr>
            <a:pPr/>
            <a:t>12</a:t>
          </a:fld>
          <a:endParaRPr lang="en-US" sz="2400"/>
        </a:p>
      </xdr:txBody>
    </xdr:sp>
    <xdr:clientData/>
  </xdr:twoCellAnchor>
  <xdr:twoCellAnchor>
    <xdr:from>
      <xdr:col>16</xdr:col>
      <xdr:colOff>80660</xdr:colOff>
      <xdr:row>71</xdr:row>
      <xdr:rowOff>88411</xdr:rowOff>
    </xdr:from>
    <xdr:to>
      <xdr:col>17</xdr:col>
      <xdr:colOff>433271</xdr:colOff>
      <xdr:row>73</xdr:row>
      <xdr:rowOff>96403</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9589095" y="14638194"/>
          <a:ext cx="971046"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mc:AlternateContent xmlns:mc="http://schemas.openxmlformats.org/markup-compatibility/2006">
    <mc:Choice xmlns:a14="http://schemas.microsoft.com/office/drawing/2010/main" Requires="a14">
      <xdr:twoCellAnchor editAs="oneCell">
        <xdr:from>
          <xdr:col>10</xdr:col>
          <xdr:colOff>397695</xdr:colOff>
          <xdr:row>12</xdr:row>
          <xdr:rowOff>58159</xdr:rowOff>
        </xdr:from>
        <xdr:to>
          <xdr:col>25</xdr:col>
          <xdr:colOff>209669</xdr:colOff>
          <xdr:row>35</xdr:row>
          <xdr:rowOff>134695</xdr:rowOff>
        </xdr:to>
        <xdr:pic>
          <xdr:nvPicPr>
            <xdr:cNvPr id="6" name="Picture 5">
              <a:extLst>
                <a:ext uri="{FF2B5EF4-FFF2-40B4-BE49-F238E27FC236}">
                  <a16:creationId xmlns:a16="http://schemas.microsoft.com/office/drawing/2014/main" id="{00000000-0008-0000-0000-000006000000}"/>
                </a:ext>
              </a:extLst>
            </xdr:cNvPr>
            <xdr:cNvPicPr>
              <a:picLocks noChangeAspect="1"/>
              <a:extLst>
                <a:ext uri="{84589F7E-364E-4C9E-8A38-B11213B215E9}">
                  <a14:cameraTool cellRange="SCH" spid="_x0000_s1116"/>
                </a:ext>
              </a:extLst>
            </xdr:cNvPicPr>
          </xdr:nvPicPr>
          <xdr:blipFill>
            <a:blip xmlns:r="http://schemas.openxmlformats.org/officeDocument/2006/relationships" r:embed="rId3"/>
            <a:stretch>
              <a:fillRect/>
            </a:stretch>
          </xdr:blipFill>
          <xdr:spPr>
            <a:xfrm>
              <a:off x="6348019" y="2691541"/>
              <a:ext cx="8750234" cy="4469018"/>
            </a:xfrm>
            <a:prstGeom prst="rect">
              <a:avLst/>
            </a:prstGeom>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451597</xdr:colOff>
      <xdr:row>179</xdr:row>
      <xdr:rowOff>177800</xdr:rowOff>
    </xdr:from>
    <xdr:to>
      <xdr:col>16</xdr:col>
      <xdr:colOff>350744</xdr:colOff>
      <xdr:row>182</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037047" y="33204150"/>
          <a:ext cx="3810747" cy="4400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57150</xdr:colOff>
          <xdr:row>110</xdr:row>
          <xdr:rowOff>0</xdr:rowOff>
        </xdr:from>
        <xdr:to>
          <xdr:col>13</xdr:col>
          <xdr:colOff>19050</xdr:colOff>
          <xdr:row>112</xdr:row>
          <xdr:rowOff>28575</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19051</xdr:colOff>
      <xdr:row>149</xdr:row>
      <xdr:rowOff>17931</xdr:rowOff>
    </xdr:from>
    <xdr:to>
      <xdr:col>14</xdr:col>
      <xdr:colOff>583081</xdr:colOff>
      <xdr:row>157</xdr:row>
      <xdr:rowOff>107951</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994901" y="27335631"/>
          <a:ext cx="3866030" cy="1563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p>
        <a:p>
          <a:endParaRPr lang="en-US" sz="1100" baseline="0"/>
        </a:p>
        <a:p>
          <a:r>
            <a:rPr lang="en-US" sz="1100" b="1" baseline="0"/>
            <a:t>Includes the effect of slope compensation. To help with the calculations the applicaiton note detailing component selection does not include loop compensation</a:t>
          </a:r>
          <a:endParaRPr lang="en-US" sz="1100" b="1"/>
        </a:p>
      </xdr:txBody>
    </xdr:sp>
    <xdr:clientData/>
  </xdr:twoCellAnchor>
  <xdr:twoCellAnchor>
    <xdr:from>
      <xdr:col>3</xdr:col>
      <xdr:colOff>660400</xdr:colOff>
      <xdr:row>182</xdr:row>
      <xdr:rowOff>165100</xdr:rowOff>
    </xdr:from>
    <xdr:to>
      <xdr:col>9</xdr:col>
      <xdr:colOff>311150</xdr:colOff>
      <xdr:row>186</xdr:row>
      <xdr:rowOff>88900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794250" y="33928050"/>
          <a:ext cx="549275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Flexible</a:t>
          </a:r>
          <a:r>
            <a:rPr lang="en-US" sz="1100" baseline="0"/>
            <a:t> equations see the MathCad file for these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76</xdr:col>
      <xdr:colOff>197810</xdr:colOff>
      <xdr:row>6</xdr:row>
      <xdr:rowOff>107149</xdr:rowOff>
    </xdr:from>
    <xdr:to>
      <xdr:col>85</xdr:col>
      <xdr:colOff>2406</xdr:colOff>
      <xdr:row>25</xdr:row>
      <xdr:rowOff>110908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228022</xdr:colOff>
      <xdr:row>12</xdr:row>
      <xdr:rowOff>102466</xdr:rowOff>
    </xdr:from>
    <xdr:to>
      <xdr:col>66</xdr:col>
      <xdr:colOff>96573</xdr:colOff>
      <xdr:row>37</xdr:row>
      <xdr:rowOff>156894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515248</xdr:colOff>
      <xdr:row>45</xdr:row>
      <xdr:rowOff>69931</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36</xdr:row>
      <xdr:rowOff>8964</xdr:rowOff>
    </xdr:from>
    <xdr:to>
      <xdr:col>11</xdr:col>
      <xdr:colOff>591031</xdr:colOff>
      <xdr:row>44</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53</xdr:row>
      <xdr:rowOff>13855</xdr:rowOff>
    </xdr:from>
    <xdr:to>
      <xdr:col>12</xdr:col>
      <xdr:colOff>83127</xdr:colOff>
      <xdr:row>64</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xdr:from>
      <xdr:col>6</xdr:col>
      <xdr:colOff>507999</xdr:colOff>
      <xdr:row>37</xdr:row>
      <xdr:rowOff>44824</xdr:rowOff>
    </xdr:from>
    <xdr:to>
      <xdr:col>12</xdr:col>
      <xdr:colOff>530411</xdr:colOff>
      <xdr:row>43</xdr:row>
      <xdr:rowOff>164354</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6716058" y="6940177"/>
          <a:ext cx="3697941" cy="1240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Specific</a:t>
          </a:r>
          <a:r>
            <a:rPr lang="en-US" sz="1100" baseline="0"/>
            <a:t> to the LM5123 and LM5152. See datasheet for details</a:t>
          </a:r>
        </a:p>
        <a:p>
          <a:endParaRPr lang="en-US" sz="1100" baseline="0"/>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28575</xdr:colOff>
          <xdr:row>2</xdr:row>
          <xdr:rowOff>0</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00000000-0008-0000-0600-000002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28575</xdr:colOff>
          <xdr:row>5</xdr:row>
          <xdr:rowOff>9525</xdr:rowOff>
        </xdr:to>
        <xdr:sp macro="" textlink="">
          <xdr:nvSpPr>
            <xdr:cNvPr id="10243" name="Object 3" hidden="1">
              <a:extLst>
                <a:ext uri="{63B3BB69-23CF-44E3-9099-C40C66FF867C}">
                  <a14:compatExt spid="_x0000_s10243"/>
                </a:ext>
                <a:ext uri="{FF2B5EF4-FFF2-40B4-BE49-F238E27FC236}">
                  <a16:creationId xmlns:a16="http://schemas.microsoft.com/office/drawing/2014/main" id="{00000000-0008-0000-0600-000003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28575</xdr:colOff>
          <xdr:row>7</xdr:row>
          <xdr:rowOff>9525</xdr:rowOff>
        </xdr:to>
        <xdr:sp macro="" textlink="">
          <xdr:nvSpPr>
            <xdr:cNvPr id="10246" name="Object 6" hidden="1">
              <a:extLst>
                <a:ext uri="{63B3BB69-23CF-44E3-9099-C40C66FF867C}">
                  <a14:compatExt spid="_x0000_s10246"/>
                </a:ext>
                <a:ext uri="{FF2B5EF4-FFF2-40B4-BE49-F238E27FC236}">
                  <a16:creationId xmlns:a16="http://schemas.microsoft.com/office/drawing/2014/main" id="{00000000-0008-0000-0600-000006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package" Target="../embeddings/Microsoft_Visio_Drawing2.vsdx"/><Relationship Id="rId3" Type="http://schemas.openxmlformats.org/officeDocument/2006/relationships/vmlDrawing" Target="../drawings/vmlDrawing5.vml"/><Relationship Id="rId7" Type="http://schemas.openxmlformats.org/officeDocument/2006/relationships/image" Target="../media/image9.emf"/><Relationship Id="rId2" Type="http://schemas.openxmlformats.org/officeDocument/2006/relationships/drawing" Target="../drawings/drawing7.xml"/><Relationship Id="rId1" Type="http://schemas.openxmlformats.org/officeDocument/2006/relationships/printerSettings" Target="../printerSettings/printerSettings6.bin"/><Relationship Id="rId6" Type="http://schemas.openxmlformats.org/officeDocument/2006/relationships/package" Target="../embeddings/Microsoft_Visio_Drawing1.vsdx"/><Relationship Id="rId5" Type="http://schemas.openxmlformats.org/officeDocument/2006/relationships/image" Target="../media/image8.emf"/><Relationship Id="rId4" Type="http://schemas.openxmlformats.org/officeDocument/2006/relationships/package" Target="../embeddings/Microsoft_Visio_Drawing.vsdx"/><Relationship Id="rId9" Type="http://schemas.openxmlformats.org/officeDocument/2006/relationships/image" Target="../media/image10.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98"/>
  <sheetViews>
    <sheetView tabSelected="1" topLeftCell="A28" zoomScale="85" zoomScaleNormal="85" workbookViewId="0">
      <selection activeCell="H68" sqref="H68"/>
    </sheetView>
  </sheetViews>
  <sheetFormatPr defaultColWidth="8.85546875" defaultRowHeight="15" x14ac:dyDescent="0.25"/>
  <cols>
    <col min="1" max="6" width="8.85546875" style="91" customWidth="1"/>
    <col min="7" max="7" width="8.85546875" style="131" customWidth="1"/>
    <col min="8" max="8" width="12" style="91" bestFit="1" customWidth="1"/>
    <col min="9" max="9" width="8.28515625" style="91" bestFit="1" customWidth="1"/>
    <col min="10" max="10" width="4.85546875" style="91" customWidth="1"/>
    <col min="11" max="21" width="8.85546875" style="91" customWidth="1"/>
    <col min="22" max="22" width="7.140625" style="91" customWidth="1"/>
    <col min="23" max="26" width="8.85546875" style="91" customWidth="1"/>
    <col min="27" max="27" width="1.85546875" style="132" customWidth="1"/>
    <col min="28" max="16384" width="8.85546875" style="91"/>
  </cols>
  <sheetData>
    <row r="1" spans="1:27" ht="46.7" customHeight="1" x14ac:dyDescent="0.25">
      <c r="A1" s="87"/>
      <c r="B1" s="87"/>
      <c r="C1" s="87"/>
      <c r="D1" s="87"/>
      <c r="E1" s="88" t="s">
        <v>517</v>
      </c>
      <c r="F1" s="87"/>
      <c r="G1" s="89"/>
      <c r="H1" s="87"/>
      <c r="I1" s="87"/>
      <c r="J1" s="87"/>
      <c r="K1" s="87"/>
      <c r="L1" s="87"/>
      <c r="M1" s="87"/>
      <c r="N1" s="87"/>
      <c r="O1" s="87"/>
      <c r="P1" s="87"/>
      <c r="Q1" s="87"/>
      <c r="R1" s="87"/>
      <c r="S1" s="87"/>
      <c r="T1" s="87"/>
      <c r="U1" s="87"/>
      <c r="V1" s="87"/>
      <c r="W1" s="87"/>
      <c r="X1" s="87"/>
      <c r="Y1" s="87"/>
      <c r="Z1" s="87"/>
      <c r="AA1" s="90"/>
    </row>
    <row r="2" spans="1:27" x14ac:dyDescent="0.25">
      <c r="A2" s="92"/>
      <c r="B2" s="92"/>
      <c r="C2" s="92"/>
      <c r="D2" s="92"/>
      <c r="E2" s="92"/>
      <c r="F2" s="92"/>
      <c r="G2" s="93"/>
      <c r="H2" s="92"/>
      <c r="I2" s="92"/>
      <c r="J2" s="92"/>
      <c r="K2" s="92"/>
      <c r="L2" s="92"/>
      <c r="M2" s="92"/>
      <c r="N2" s="92"/>
      <c r="O2" s="92"/>
      <c r="P2" s="92"/>
      <c r="Q2" s="92"/>
      <c r="R2" s="92"/>
      <c r="S2" s="92"/>
      <c r="T2" s="92"/>
      <c r="U2" s="92"/>
      <c r="V2" s="92"/>
      <c r="W2" s="92"/>
      <c r="X2" s="92"/>
      <c r="Y2" s="92"/>
      <c r="Z2" s="92"/>
      <c r="AA2" s="90"/>
    </row>
    <row r="3" spans="1:27" x14ac:dyDescent="0.25">
      <c r="A3" s="94" t="s">
        <v>1</v>
      </c>
      <c r="B3" s="92"/>
      <c r="C3" s="92"/>
      <c r="D3" s="92"/>
      <c r="E3" s="95"/>
      <c r="F3" s="96" t="s">
        <v>2</v>
      </c>
      <c r="G3" s="93"/>
      <c r="H3" s="92"/>
      <c r="I3" s="92"/>
      <c r="J3" s="92"/>
      <c r="K3" s="92"/>
      <c r="L3" s="92"/>
      <c r="M3" s="92"/>
      <c r="N3" s="92"/>
      <c r="O3" s="97" t="s">
        <v>0</v>
      </c>
      <c r="P3" s="92"/>
      <c r="Q3" s="92"/>
      <c r="R3" s="92"/>
      <c r="S3" s="92"/>
      <c r="T3" s="92"/>
      <c r="U3" s="92"/>
      <c r="V3" s="92"/>
      <c r="W3" s="92"/>
      <c r="X3" s="92"/>
      <c r="Y3" s="92"/>
      <c r="Z3" s="92"/>
      <c r="AA3" s="90"/>
    </row>
    <row r="4" spans="1:27" s="101" customFormat="1" x14ac:dyDescent="0.25">
      <c r="A4" s="98"/>
      <c r="B4" s="98"/>
      <c r="C4" s="98"/>
      <c r="D4" s="98"/>
      <c r="E4" s="98"/>
      <c r="F4" s="98"/>
      <c r="G4" s="99"/>
      <c r="H4" s="98"/>
      <c r="I4" s="98"/>
      <c r="J4" s="98"/>
      <c r="K4" s="98"/>
      <c r="L4" s="98"/>
      <c r="M4" s="98"/>
      <c r="N4" s="98"/>
      <c r="O4" s="98"/>
      <c r="P4" s="98"/>
      <c r="Q4" s="98"/>
      <c r="R4" s="98"/>
      <c r="S4" s="98"/>
      <c r="T4" s="98"/>
      <c r="U4" s="98"/>
      <c r="V4" s="98"/>
      <c r="W4" s="98"/>
      <c r="X4" s="98"/>
      <c r="Y4" s="98"/>
      <c r="Z4" s="98"/>
      <c r="AA4" s="100"/>
    </row>
    <row r="5" spans="1:27" x14ac:dyDescent="0.25">
      <c r="A5" s="102"/>
      <c r="B5" s="102"/>
      <c r="C5" s="102"/>
      <c r="D5" s="102"/>
      <c r="E5" s="102"/>
      <c r="F5" s="102"/>
      <c r="G5" s="103"/>
      <c r="H5" s="102"/>
      <c r="I5" s="102"/>
      <c r="J5" s="102"/>
      <c r="K5" s="102"/>
      <c r="L5" s="102"/>
      <c r="M5" s="102"/>
      <c r="N5" s="102"/>
      <c r="O5" s="102" t="s">
        <v>608</v>
      </c>
      <c r="P5" s="104" t="s">
        <v>609</v>
      </c>
      <c r="Q5" s="102"/>
      <c r="R5" s="102"/>
      <c r="S5" s="102"/>
      <c r="T5" s="102"/>
      <c r="U5" s="102"/>
      <c r="V5" s="102"/>
      <c r="W5" s="102"/>
      <c r="X5" s="102"/>
      <c r="Y5" s="102"/>
      <c r="Z5" s="102"/>
      <c r="AA5" s="90"/>
    </row>
    <row r="6" spans="1:27" ht="15.75" thickBot="1" x14ac:dyDescent="0.3">
      <c r="A6" s="117" t="s">
        <v>3</v>
      </c>
      <c r="B6" s="102"/>
      <c r="C6" s="102"/>
      <c r="D6" s="102"/>
      <c r="E6" s="102"/>
      <c r="F6" s="102"/>
      <c r="G6" s="103"/>
      <c r="H6" s="102"/>
      <c r="I6" s="102"/>
      <c r="J6" s="102"/>
      <c r="K6" s="102"/>
      <c r="L6" s="102"/>
      <c r="M6" s="102"/>
      <c r="N6" s="102"/>
      <c r="O6" s="102"/>
      <c r="P6" s="102"/>
      <c r="Q6" s="102"/>
      <c r="R6" s="102"/>
      <c r="S6" s="102"/>
      <c r="T6" s="102"/>
      <c r="U6" s="102"/>
      <c r="V6" s="102"/>
      <c r="W6" s="102"/>
      <c r="X6" s="102"/>
      <c r="Y6" s="102"/>
      <c r="Z6" s="102"/>
      <c r="AA6" s="90"/>
    </row>
    <row r="7" spans="1:27" x14ac:dyDescent="0.25">
      <c r="A7" s="105"/>
      <c r="B7" s="106"/>
      <c r="C7" s="106"/>
      <c r="D7" s="106"/>
      <c r="E7" s="106"/>
      <c r="F7" s="106"/>
      <c r="G7" s="107" t="s">
        <v>4</v>
      </c>
      <c r="H7" s="133">
        <v>10</v>
      </c>
      <c r="I7" s="108" t="s">
        <v>10</v>
      </c>
      <c r="J7" s="102"/>
      <c r="K7" s="102"/>
      <c r="L7" s="102"/>
      <c r="M7" s="102"/>
      <c r="N7" s="102"/>
      <c r="O7" s="102"/>
      <c r="P7" s="102"/>
      <c r="Q7" s="102"/>
      <c r="R7" s="102"/>
      <c r="S7" s="102"/>
      <c r="T7" s="102"/>
      <c r="U7" s="102"/>
      <c r="V7" s="102"/>
      <c r="W7" s="102"/>
      <c r="X7" s="102"/>
      <c r="Y7" s="102"/>
      <c r="Z7" s="102"/>
      <c r="AA7" s="90"/>
    </row>
    <row r="8" spans="1:27" x14ac:dyDescent="0.25">
      <c r="A8" s="109"/>
      <c r="B8" s="102"/>
      <c r="C8" s="102"/>
      <c r="D8" s="102"/>
      <c r="E8" s="102"/>
      <c r="F8" s="102"/>
      <c r="G8" s="110" t="s">
        <v>5</v>
      </c>
      <c r="H8" s="134">
        <v>12</v>
      </c>
      <c r="I8" s="111" t="s">
        <v>10</v>
      </c>
      <c r="J8" s="102"/>
      <c r="K8" s="102"/>
      <c r="L8" s="102"/>
      <c r="M8" s="102"/>
      <c r="N8" s="102"/>
      <c r="O8" s="102"/>
      <c r="P8" s="102"/>
      <c r="Q8" s="102"/>
      <c r="R8" s="102"/>
      <c r="S8" s="102"/>
      <c r="T8" s="102"/>
      <c r="U8" s="102"/>
      <c r="V8" s="102"/>
      <c r="W8" s="102"/>
      <c r="X8" s="102"/>
      <c r="Y8" s="102"/>
      <c r="Z8" s="102"/>
      <c r="AA8" s="90"/>
    </row>
    <row r="9" spans="1:27" x14ac:dyDescent="0.25">
      <c r="A9" s="109"/>
      <c r="B9" s="102"/>
      <c r="C9" s="102"/>
      <c r="D9" s="102"/>
      <c r="E9" s="102"/>
      <c r="F9" s="102"/>
      <c r="G9" s="110" t="s">
        <v>6</v>
      </c>
      <c r="H9" s="134">
        <v>18</v>
      </c>
      <c r="I9" s="111" t="s">
        <v>10</v>
      </c>
      <c r="J9" s="102"/>
      <c r="K9" s="102"/>
      <c r="L9" s="102"/>
      <c r="M9" s="102"/>
      <c r="N9" s="102"/>
      <c r="O9" s="102"/>
      <c r="P9" s="102"/>
      <c r="Q9" s="102"/>
      <c r="R9" s="102"/>
      <c r="S9" s="102"/>
      <c r="T9" s="102"/>
      <c r="U9" s="102"/>
      <c r="V9" s="102"/>
      <c r="W9" s="102"/>
      <c r="X9" s="102"/>
      <c r="Y9" s="102"/>
      <c r="Z9" s="102"/>
      <c r="AA9" s="90"/>
    </row>
    <row r="10" spans="1:27" x14ac:dyDescent="0.25">
      <c r="A10" s="109"/>
      <c r="B10" s="102"/>
      <c r="C10" s="102"/>
      <c r="D10" s="102"/>
      <c r="E10" s="102"/>
      <c r="F10" s="102"/>
      <c r="G10" s="110" t="s">
        <v>7</v>
      </c>
      <c r="H10" s="134">
        <v>21</v>
      </c>
      <c r="I10" s="111" t="s">
        <v>10</v>
      </c>
      <c r="J10" s="102"/>
      <c r="K10" s="102"/>
      <c r="L10" s="102"/>
      <c r="M10" s="102"/>
      <c r="N10" s="102"/>
      <c r="O10" s="102"/>
      <c r="P10" s="102"/>
      <c r="Q10" s="102"/>
      <c r="R10" s="102"/>
      <c r="S10" s="102"/>
      <c r="T10" s="102"/>
      <c r="U10" s="102"/>
      <c r="V10" s="102"/>
      <c r="W10" s="102"/>
      <c r="X10" s="102"/>
      <c r="Y10" s="102"/>
      <c r="Z10" s="102"/>
      <c r="AA10" s="90"/>
    </row>
    <row r="11" spans="1:27" x14ac:dyDescent="0.25">
      <c r="A11" s="109"/>
      <c r="B11" s="102"/>
      <c r="C11" s="102"/>
      <c r="D11" s="102"/>
      <c r="E11" s="102"/>
      <c r="F11" s="102"/>
      <c r="G11" s="110" t="s">
        <v>8</v>
      </c>
      <c r="H11" s="210">
        <v>15</v>
      </c>
      <c r="I11" s="111" t="s">
        <v>11</v>
      </c>
      <c r="J11" s="102"/>
      <c r="K11" s="102"/>
      <c r="L11" s="102"/>
      <c r="M11" s="102"/>
      <c r="N11" s="102"/>
      <c r="O11" s="102"/>
      <c r="P11" s="102"/>
      <c r="Q11" s="102"/>
      <c r="R11" s="102"/>
      <c r="S11" s="102"/>
      <c r="T11" s="102"/>
      <c r="U11" s="102"/>
      <c r="V11" s="102"/>
      <c r="W11" s="102"/>
      <c r="X11" s="102"/>
      <c r="Y11" s="102"/>
      <c r="Z11" s="102"/>
      <c r="AA11" s="90"/>
    </row>
    <row r="12" spans="1:27" x14ac:dyDescent="0.25">
      <c r="A12" s="109"/>
      <c r="B12" s="102"/>
      <c r="C12" s="102"/>
      <c r="D12" s="102"/>
      <c r="E12" s="102"/>
      <c r="F12" s="102"/>
      <c r="G12" s="110" t="s">
        <v>521</v>
      </c>
      <c r="H12" s="211" t="s">
        <v>607</v>
      </c>
      <c r="I12" s="212"/>
      <c r="J12" s="102"/>
      <c r="K12" s="102"/>
      <c r="L12" s="102"/>
      <c r="M12" s="102"/>
      <c r="N12" s="102"/>
      <c r="O12" s="102"/>
      <c r="P12" s="102"/>
      <c r="Q12" s="102"/>
      <c r="R12" s="102"/>
      <c r="S12" s="102"/>
      <c r="T12" s="102"/>
      <c r="U12" s="102"/>
      <c r="V12" s="102"/>
      <c r="W12" s="102"/>
      <c r="X12" s="102"/>
      <c r="Y12" s="102"/>
      <c r="Z12" s="102"/>
      <c r="AA12" s="90"/>
    </row>
    <row r="13" spans="1:27" x14ac:dyDescent="0.25">
      <c r="A13" s="109"/>
      <c r="B13" s="102"/>
      <c r="C13" s="102"/>
      <c r="D13" s="102"/>
      <c r="E13" s="102"/>
      <c r="F13" s="102"/>
      <c r="G13" s="110" t="s">
        <v>9</v>
      </c>
      <c r="H13" s="134">
        <v>2000</v>
      </c>
      <c r="I13" s="111" t="s">
        <v>12</v>
      </c>
      <c r="J13" s="102"/>
      <c r="K13" s="102"/>
      <c r="L13" s="102"/>
      <c r="M13" s="102"/>
      <c r="N13" s="102"/>
      <c r="O13" s="102"/>
      <c r="P13" s="102"/>
      <c r="Q13" s="102"/>
      <c r="R13" s="102"/>
      <c r="S13" s="102"/>
      <c r="T13" s="102"/>
      <c r="U13" s="102"/>
      <c r="V13" s="102"/>
      <c r="W13" s="102"/>
      <c r="X13" s="102"/>
      <c r="Y13" s="102"/>
      <c r="Z13" s="102"/>
      <c r="AA13" s="90"/>
    </row>
    <row r="14" spans="1:27" x14ac:dyDescent="0.25">
      <c r="A14" s="109"/>
      <c r="B14" s="102"/>
      <c r="C14" s="102"/>
      <c r="D14" s="102"/>
      <c r="E14" s="102"/>
      <c r="F14" s="102"/>
      <c r="G14" s="110" t="s">
        <v>70</v>
      </c>
      <c r="H14" s="135">
        <f>RT/1000</f>
        <v>10.095000000000001</v>
      </c>
      <c r="I14" s="111" t="s">
        <v>71</v>
      </c>
      <c r="J14" s="102"/>
      <c r="K14" s="102"/>
      <c r="L14" s="102"/>
      <c r="M14" s="102"/>
      <c r="N14" s="102"/>
      <c r="O14" s="102"/>
      <c r="P14" s="102"/>
      <c r="Q14" s="102"/>
      <c r="R14" s="102"/>
      <c r="S14" s="102"/>
      <c r="T14" s="102"/>
      <c r="U14" s="102"/>
      <c r="V14" s="102"/>
      <c r="W14" s="102"/>
      <c r="X14" s="102"/>
      <c r="Y14" s="102"/>
      <c r="Z14" s="102"/>
      <c r="AA14" s="90"/>
    </row>
    <row r="15" spans="1:27" x14ac:dyDescent="0.25">
      <c r="A15" s="109"/>
      <c r="B15" s="102"/>
      <c r="C15" s="102"/>
      <c r="D15" s="102"/>
      <c r="E15" s="102"/>
      <c r="F15" s="102"/>
      <c r="G15" s="110" t="s">
        <v>14</v>
      </c>
      <c r="H15" s="163">
        <f>POUT</f>
        <v>315</v>
      </c>
      <c r="I15" s="111" t="s">
        <v>38</v>
      </c>
      <c r="J15" s="102"/>
      <c r="K15" s="102"/>
      <c r="L15" s="102"/>
      <c r="M15" s="102"/>
      <c r="N15" s="102"/>
      <c r="O15" s="102"/>
      <c r="P15" s="102"/>
      <c r="Q15" s="102"/>
      <c r="R15" s="102"/>
      <c r="S15" s="102"/>
      <c r="T15" s="102"/>
      <c r="U15" s="102"/>
      <c r="V15" s="102"/>
      <c r="W15" s="102"/>
      <c r="X15" s="102"/>
      <c r="Y15" s="102"/>
      <c r="Z15" s="102"/>
      <c r="AA15" s="90"/>
    </row>
    <row r="16" spans="1:27" x14ac:dyDescent="0.25">
      <c r="A16" s="112"/>
      <c r="B16" s="113"/>
      <c r="C16" s="113"/>
      <c r="D16" s="113"/>
      <c r="E16" s="113"/>
      <c r="F16" s="102"/>
      <c r="G16" s="114" t="s">
        <v>516</v>
      </c>
      <c r="H16" s="163">
        <f>Dc_max_IC*100</f>
        <v>79.818181818181827</v>
      </c>
      <c r="I16" s="111" t="s">
        <v>13</v>
      </c>
      <c r="J16" s="102"/>
      <c r="K16" s="102"/>
      <c r="L16" s="102"/>
      <c r="M16" s="102"/>
      <c r="N16" s="102"/>
      <c r="O16" s="102"/>
      <c r="P16" s="102"/>
      <c r="Q16" s="102"/>
      <c r="R16" s="102"/>
      <c r="S16" s="102"/>
      <c r="T16" s="102"/>
      <c r="U16" s="102"/>
      <c r="V16" s="102"/>
      <c r="W16" s="102"/>
      <c r="X16" s="102"/>
      <c r="Y16" s="102"/>
      <c r="Z16" s="102"/>
      <c r="AA16" s="90"/>
    </row>
    <row r="17" spans="1:27" ht="15.75" thickBot="1" x14ac:dyDescent="0.3">
      <c r="A17" s="161"/>
      <c r="B17" s="162"/>
      <c r="C17" s="162"/>
      <c r="D17" s="162"/>
      <c r="E17" s="162"/>
      <c r="F17" s="115"/>
      <c r="G17" s="204" t="s">
        <v>414</v>
      </c>
      <c r="H17" s="205">
        <f>Variable_Management!B22*100</f>
        <v>52.380952380952387</v>
      </c>
      <c r="I17" s="116" t="s">
        <v>13</v>
      </c>
      <c r="J17" s="102"/>
      <c r="K17" s="102"/>
      <c r="L17" s="102"/>
      <c r="M17" s="102"/>
      <c r="N17" s="102"/>
      <c r="O17" s="102"/>
      <c r="P17" s="102"/>
      <c r="Q17" s="102"/>
      <c r="R17" s="102"/>
      <c r="S17" s="102"/>
      <c r="T17" s="102"/>
      <c r="U17" s="102"/>
      <c r="V17" s="102"/>
      <c r="W17" s="102"/>
      <c r="X17" s="102"/>
      <c r="Y17" s="102"/>
      <c r="Z17" s="102"/>
      <c r="AA17" s="90"/>
    </row>
    <row r="18" spans="1:27" x14ac:dyDescent="0.25">
      <c r="A18" s="113"/>
      <c r="B18" s="113"/>
      <c r="C18" s="113"/>
      <c r="D18" s="113"/>
      <c r="E18" s="113"/>
      <c r="F18" s="102"/>
      <c r="G18" s="103"/>
      <c r="H18" s="102"/>
      <c r="I18" s="102"/>
      <c r="J18" s="102"/>
      <c r="K18" s="102"/>
      <c r="L18" s="102"/>
      <c r="M18" s="102"/>
      <c r="N18" s="102"/>
      <c r="O18" s="102"/>
      <c r="P18" s="102"/>
      <c r="Q18" s="102"/>
      <c r="R18" s="102"/>
      <c r="S18" s="102"/>
      <c r="T18" s="102"/>
      <c r="U18" s="102"/>
      <c r="V18" s="102"/>
      <c r="W18" s="102"/>
      <c r="X18" s="102"/>
      <c r="Y18" s="102"/>
      <c r="Z18" s="102"/>
      <c r="AA18" s="90"/>
    </row>
    <row r="19" spans="1:27" ht="15.75" thickBot="1" x14ac:dyDescent="0.3">
      <c r="A19" s="117" t="s">
        <v>72</v>
      </c>
      <c r="B19" s="113"/>
      <c r="C19" s="113"/>
      <c r="D19" s="113"/>
      <c r="E19" s="113"/>
      <c r="F19" s="102"/>
      <c r="G19" s="103"/>
      <c r="H19" s="102"/>
      <c r="I19" s="102"/>
      <c r="J19" s="102"/>
      <c r="K19" s="102"/>
      <c r="L19" s="102"/>
      <c r="M19" s="102"/>
      <c r="N19" s="102"/>
      <c r="O19" s="102"/>
      <c r="P19" s="102"/>
      <c r="Q19" s="102"/>
      <c r="R19" s="102"/>
      <c r="S19" s="102"/>
      <c r="T19" s="102"/>
      <c r="U19" s="102"/>
      <c r="V19" s="102"/>
      <c r="W19" s="102"/>
      <c r="X19" s="102"/>
      <c r="Y19" s="102"/>
      <c r="Z19" s="102"/>
      <c r="AA19" s="90"/>
    </row>
    <row r="20" spans="1:27" ht="18" x14ac:dyDescent="0.35">
      <c r="A20" s="125"/>
      <c r="B20" s="118"/>
      <c r="C20" s="118"/>
      <c r="D20" s="118"/>
      <c r="E20" s="118"/>
      <c r="F20" s="106"/>
      <c r="G20" s="124" t="s">
        <v>524</v>
      </c>
      <c r="H20" s="157" t="str">
        <f>CHOOSE(Variable_Management!B25, "DCM","CCM")</f>
        <v>CCM</v>
      </c>
      <c r="I20" s="108"/>
      <c r="J20" s="102"/>
      <c r="K20" s="102"/>
      <c r="L20" s="102"/>
      <c r="M20" s="102"/>
      <c r="N20" s="102"/>
      <c r="O20" s="102"/>
      <c r="P20" s="102"/>
      <c r="Q20" s="102"/>
      <c r="R20" s="102"/>
      <c r="S20" s="102"/>
      <c r="T20" s="102"/>
      <c r="U20" s="102"/>
      <c r="V20" s="102"/>
      <c r="W20" s="102"/>
      <c r="X20" s="102"/>
      <c r="Y20" s="102"/>
      <c r="Z20" s="102"/>
      <c r="AA20" s="90"/>
    </row>
    <row r="21" spans="1:27" x14ac:dyDescent="0.25">
      <c r="A21" s="112"/>
      <c r="B21" s="113"/>
      <c r="C21" s="113"/>
      <c r="D21" s="113"/>
      <c r="E21" s="113"/>
      <c r="F21" s="102"/>
      <c r="G21" s="110" t="str">
        <f>CHOOSE(Variable_Management!B25,"Maximum duty cycle at the minimum supply voltage","Desired Maximum Inductor Current Ripple Ratio")</f>
        <v>Desired Maximum Inductor Current Ripple Ratio</v>
      </c>
      <c r="H21" s="134">
        <v>10</v>
      </c>
      <c r="I21" s="111" t="s">
        <v>13</v>
      </c>
      <c r="J21" s="102"/>
      <c r="K21" s="102"/>
      <c r="L21" s="102"/>
      <c r="M21" s="102"/>
      <c r="N21" s="102"/>
      <c r="O21" s="102"/>
      <c r="P21" s="102"/>
      <c r="Q21" s="102"/>
      <c r="R21" s="102"/>
      <c r="S21" s="102"/>
      <c r="T21" s="102"/>
      <c r="U21" s="102"/>
      <c r="V21" s="102"/>
      <c r="W21" s="102"/>
      <c r="X21" s="102"/>
      <c r="Y21" s="102"/>
      <c r="Z21" s="102"/>
      <c r="AA21" s="90"/>
    </row>
    <row r="22" spans="1:27" x14ac:dyDescent="0.25">
      <c r="A22" s="109"/>
      <c r="B22" s="102"/>
      <c r="C22" s="102"/>
      <c r="D22" s="102"/>
      <c r="E22" s="102"/>
      <c r="F22" s="102"/>
      <c r="G22" s="110" t="s">
        <v>390</v>
      </c>
      <c r="H22" s="137">
        <f>CHOOSE(Variable_Management!B25,Variable_Management!B45*10^9,Variable_Management!B45*10^6)</f>
        <v>1.0369589999999997</v>
      </c>
      <c r="I22" s="111" t="str">
        <f>CHOOSE(Variable_Management!B25,"nH","uH")</f>
        <v>uH</v>
      </c>
      <c r="J22" s="102"/>
      <c r="K22" s="102"/>
      <c r="L22" s="102"/>
      <c r="M22" s="102"/>
      <c r="N22" s="102"/>
      <c r="O22" s="102"/>
      <c r="P22" s="102"/>
      <c r="Q22" s="102"/>
      <c r="R22" s="102"/>
      <c r="S22" s="102"/>
      <c r="T22" s="102"/>
      <c r="U22" s="102"/>
      <c r="V22" s="102"/>
      <c r="W22" s="102"/>
      <c r="X22" s="102"/>
      <c r="Y22" s="102"/>
      <c r="Z22" s="102"/>
      <c r="AA22" s="90"/>
    </row>
    <row r="23" spans="1:27" x14ac:dyDescent="0.25">
      <c r="A23" s="109"/>
      <c r="B23" s="102"/>
      <c r="C23" s="102"/>
      <c r="D23" s="102"/>
      <c r="E23" s="102"/>
      <c r="F23" s="102"/>
      <c r="G23" s="110" t="s">
        <v>391</v>
      </c>
      <c r="H23" s="134">
        <v>1</v>
      </c>
      <c r="I23" s="111" t="str">
        <f>CHOOSE(Variable_Management!B25,"nH","uH")</f>
        <v>uH</v>
      </c>
      <c r="J23" s="102"/>
      <c r="K23" s="102"/>
      <c r="L23" s="102"/>
      <c r="M23" s="102"/>
      <c r="N23" s="102"/>
      <c r="O23" s="102"/>
      <c r="P23" s="102"/>
      <c r="Q23" s="102"/>
      <c r="R23" s="102"/>
      <c r="S23" s="102"/>
      <c r="T23" s="102"/>
      <c r="U23" s="102"/>
      <c r="V23" s="102"/>
      <c r="W23" s="102"/>
      <c r="X23" s="102"/>
      <c r="Y23" s="102"/>
      <c r="Z23" s="102"/>
      <c r="AA23" s="90"/>
    </row>
    <row r="24" spans="1:27" x14ac:dyDescent="0.25">
      <c r="A24" s="109"/>
      <c r="B24" s="102"/>
      <c r="C24" s="102"/>
      <c r="D24" s="102"/>
      <c r="E24" s="102"/>
      <c r="F24" s="102"/>
      <c r="G24" s="110" t="s">
        <v>76</v>
      </c>
      <c r="H24" s="134">
        <v>1.38</v>
      </c>
      <c r="I24" s="111" t="s">
        <v>92</v>
      </c>
      <c r="J24" s="102"/>
      <c r="K24" s="102"/>
      <c r="L24" s="102"/>
      <c r="M24" s="102"/>
      <c r="N24" s="102"/>
      <c r="O24" s="102"/>
      <c r="P24" s="102"/>
      <c r="Q24" s="102"/>
      <c r="R24" s="102"/>
      <c r="S24" s="102"/>
      <c r="T24" s="102"/>
      <c r="U24" s="102"/>
      <c r="V24" s="102"/>
      <c r="W24" s="102"/>
      <c r="X24" s="102"/>
      <c r="Y24" s="102"/>
      <c r="Z24" s="102"/>
      <c r="AA24" s="90"/>
    </row>
    <row r="25" spans="1:27" ht="15.75" thickBot="1" x14ac:dyDescent="0.3">
      <c r="A25" s="119"/>
      <c r="B25" s="115"/>
      <c r="C25" s="115"/>
      <c r="D25" s="115"/>
      <c r="E25" s="115"/>
      <c r="F25" s="115"/>
      <c r="G25" s="120" t="s">
        <v>93</v>
      </c>
      <c r="H25" s="138">
        <f>ILp_VINmin</f>
        <v>32.80952380952381</v>
      </c>
      <c r="I25" s="116" t="s">
        <v>11</v>
      </c>
      <c r="J25" s="102"/>
      <c r="K25" s="102"/>
      <c r="L25" s="102"/>
      <c r="M25" s="102"/>
      <c r="N25" s="102"/>
      <c r="O25" s="102"/>
      <c r="P25" s="102"/>
      <c r="Q25" s="102"/>
      <c r="R25" s="102"/>
      <c r="S25" s="102"/>
      <c r="T25" s="102"/>
      <c r="U25" s="102"/>
      <c r="V25" s="102"/>
      <c r="W25" s="102"/>
      <c r="X25" s="102"/>
      <c r="Y25" s="102"/>
      <c r="Z25" s="102"/>
      <c r="AA25" s="90"/>
    </row>
    <row r="26" spans="1:27" x14ac:dyDescent="0.25">
      <c r="A26" s="102"/>
      <c r="B26" s="102"/>
      <c r="C26" s="102"/>
      <c r="D26" s="102"/>
      <c r="E26" s="102"/>
      <c r="F26" s="102"/>
      <c r="G26" s="103"/>
      <c r="H26" s="102"/>
      <c r="I26" s="102"/>
      <c r="J26" s="102"/>
      <c r="K26" s="102"/>
      <c r="L26" s="102"/>
      <c r="M26" s="102"/>
      <c r="N26" s="102"/>
      <c r="O26" s="102"/>
      <c r="P26" s="102"/>
      <c r="Q26" s="102"/>
      <c r="R26" s="102"/>
      <c r="S26" s="102"/>
      <c r="T26" s="102"/>
      <c r="U26" s="102"/>
      <c r="V26" s="102"/>
      <c r="W26" s="102"/>
      <c r="X26" s="102"/>
      <c r="Y26" s="102"/>
      <c r="Z26" s="102"/>
      <c r="AA26" s="90"/>
    </row>
    <row r="27" spans="1:27" ht="15.75" thickBot="1" x14ac:dyDescent="0.3">
      <c r="A27" s="117" t="s">
        <v>112</v>
      </c>
      <c r="B27" s="102"/>
      <c r="C27" s="102"/>
      <c r="D27" s="102"/>
      <c r="E27" s="102"/>
      <c r="F27" s="102"/>
      <c r="G27" s="103"/>
      <c r="H27" s="102"/>
      <c r="I27" s="102"/>
      <c r="J27" s="102"/>
      <c r="K27" s="102"/>
      <c r="L27" s="102"/>
      <c r="M27" s="102"/>
      <c r="N27" s="102"/>
      <c r="O27" s="102"/>
      <c r="P27" s="102"/>
      <c r="Q27" s="102"/>
      <c r="R27" s="102"/>
      <c r="S27" s="102"/>
      <c r="T27" s="102"/>
      <c r="U27" s="102"/>
      <c r="V27" s="102"/>
      <c r="W27" s="102"/>
      <c r="X27" s="102"/>
      <c r="Y27" s="102"/>
      <c r="Z27" s="102"/>
      <c r="AA27" s="90"/>
    </row>
    <row r="28" spans="1:27" x14ac:dyDescent="0.25">
      <c r="A28" s="105"/>
      <c r="B28" s="106"/>
      <c r="C28" s="106"/>
      <c r="D28" s="106"/>
      <c r="E28" s="106"/>
      <c r="F28" s="106"/>
      <c r="G28" s="107" t="s">
        <v>415</v>
      </c>
      <c r="H28" s="133">
        <v>10</v>
      </c>
      <c r="I28" s="108" t="s">
        <v>13</v>
      </c>
      <c r="J28" s="102"/>
      <c r="K28" s="102"/>
      <c r="L28" s="102"/>
      <c r="M28" s="102"/>
      <c r="N28" s="102"/>
      <c r="O28" s="102"/>
      <c r="P28" s="102"/>
      <c r="Q28" s="102"/>
      <c r="R28" s="102"/>
      <c r="S28" s="102"/>
      <c r="T28" s="102"/>
      <c r="U28" s="102"/>
      <c r="V28" s="102"/>
      <c r="W28" s="102"/>
      <c r="X28" s="102"/>
      <c r="Y28" s="102"/>
      <c r="Z28" s="102"/>
      <c r="AA28" s="90"/>
    </row>
    <row r="29" spans="1:27" ht="18" x14ac:dyDescent="0.35">
      <c r="A29" s="109"/>
      <c r="B29" s="102"/>
      <c r="C29" s="102"/>
      <c r="D29" s="102"/>
      <c r="E29" s="102"/>
      <c r="F29" s="102"/>
      <c r="G29" s="103" t="s">
        <v>170</v>
      </c>
      <c r="H29" s="135">
        <f>Ipk_selected</f>
        <v>37.914160401002512</v>
      </c>
      <c r="I29" s="111" t="s">
        <v>11</v>
      </c>
      <c r="J29" s="102"/>
      <c r="K29" s="102"/>
      <c r="L29" s="102"/>
      <c r="M29" s="102"/>
      <c r="N29" s="102"/>
      <c r="O29" s="102"/>
      <c r="P29" s="102"/>
      <c r="Q29" s="102"/>
      <c r="R29" s="102"/>
      <c r="S29" s="102"/>
      <c r="T29" s="102"/>
      <c r="U29" s="102"/>
      <c r="V29" s="102"/>
      <c r="W29" s="102"/>
      <c r="X29" s="102"/>
      <c r="Y29" s="102"/>
      <c r="Z29" s="102"/>
      <c r="AA29" s="90"/>
    </row>
    <row r="30" spans="1:27" ht="18" x14ac:dyDescent="0.35">
      <c r="A30" s="109"/>
      <c r="B30" s="102"/>
      <c r="C30" s="102"/>
      <c r="D30" s="102"/>
      <c r="E30" s="102"/>
      <c r="F30" s="102"/>
      <c r="G30" s="103" t="s">
        <v>418</v>
      </c>
      <c r="H30" s="135">
        <f>Variable_Management!B87*1000</f>
        <v>1.5825221860488172</v>
      </c>
      <c r="I30" s="111" t="s">
        <v>92</v>
      </c>
      <c r="J30" s="102"/>
      <c r="K30" s="102"/>
      <c r="L30" s="102"/>
      <c r="M30" s="102"/>
      <c r="N30" s="102"/>
      <c r="O30" s="102"/>
      <c r="P30" s="102"/>
      <c r="Q30" s="102"/>
      <c r="R30" s="102"/>
      <c r="S30" s="102"/>
      <c r="T30" s="102"/>
      <c r="U30" s="102"/>
      <c r="V30" s="102"/>
      <c r="W30" s="102"/>
      <c r="X30" s="102"/>
      <c r="Y30" s="102"/>
      <c r="Z30" s="102"/>
      <c r="AA30" s="90"/>
    </row>
    <row r="31" spans="1:27" ht="18" x14ac:dyDescent="0.35">
      <c r="A31" s="109"/>
      <c r="B31" s="102"/>
      <c r="C31" s="102"/>
      <c r="D31" s="102"/>
      <c r="E31" s="102"/>
      <c r="F31" s="102"/>
      <c r="G31" s="103" t="s">
        <v>419</v>
      </c>
      <c r="H31" s="134">
        <v>1.5</v>
      </c>
      <c r="I31" s="111" t="s">
        <v>92</v>
      </c>
      <c r="J31" s="102"/>
      <c r="K31" s="102"/>
      <c r="L31" s="102"/>
      <c r="M31" s="102"/>
      <c r="N31" s="102"/>
      <c r="O31" s="102"/>
      <c r="P31" s="102"/>
      <c r="Q31" s="102"/>
      <c r="R31" s="102"/>
      <c r="S31" s="102"/>
      <c r="T31" s="102"/>
      <c r="U31" s="102"/>
      <c r="V31" s="102"/>
      <c r="W31" s="102"/>
      <c r="X31" s="102"/>
      <c r="Y31" s="102"/>
      <c r="Z31" s="102"/>
      <c r="AA31" s="90"/>
    </row>
    <row r="32" spans="1:27" ht="15.75" thickBot="1" x14ac:dyDescent="0.3">
      <c r="A32" s="119"/>
      <c r="B32" s="115"/>
      <c r="C32" s="115"/>
      <c r="D32" s="115"/>
      <c r="E32" s="115"/>
      <c r="F32" s="115"/>
      <c r="G32" s="122" t="s">
        <v>143</v>
      </c>
      <c r="H32" s="139">
        <f>IL_pk_max</f>
        <v>40</v>
      </c>
      <c r="I32" s="123" t="s">
        <v>11</v>
      </c>
      <c r="J32" s="102"/>
      <c r="K32" s="102"/>
      <c r="L32" s="102"/>
      <c r="M32" s="102"/>
      <c r="N32" s="102"/>
      <c r="O32" s="102"/>
      <c r="P32" s="102"/>
      <c r="Q32" s="102"/>
      <c r="R32" s="102"/>
      <c r="S32" s="102"/>
      <c r="T32" s="102"/>
      <c r="U32" s="102"/>
      <c r="V32" s="102"/>
      <c r="W32" s="102"/>
      <c r="X32" s="102"/>
      <c r="Y32" s="102"/>
      <c r="Z32" s="102"/>
      <c r="AA32" s="90"/>
    </row>
    <row r="33" spans="1:27" x14ac:dyDescent="0.25">
      <c r="A33" s="102"/>
      <c r="B33" s="102"/>
      <c r="C33" s="102"/>
      <c r="D33" s="102"/>
      <c r="E33" s="102"/>
      <c r="F33" s="102"/>
      <c r="G33" s="103"/>
      <c r="H33" s="102"/>
      <c r="I33" s="102"/>
      <c r="J33" s="102"/>
      <c r="K33" s="102"/>
      <c r="L33" s="102"/>
      <c r="M33" s="102"/>
      <c r="N33" s="102"/>
      <c r="O33" s="102"/>
      <c r="P33" s="102"/>
      <c r="Q33" s="102"/>
      <c r="R33" s="102"/>
      <c r="S33" s="102"/>
      <c r="T33" s="102"/>
      <c r="U33" s="102"/>
      <c r="V33" s="102"/>
      <c r="W33" s="102"/>
      <c r="X33" s="102"/>
      <c r="Y33" s="102"/>
      <c r="Z33" s="102"/>
      <c r="AA33" s="90"/>
    </row>
    <row r="34" spans="1:27" ht="15.75" thickBot="1" x14ac:dyDescent="0.3">
      <c r="A34" s="117" t="s">
        <v>154</v>
      </c>
      <c r="B34" s="102"/>
      <c r="C34" s="102"/>
      <c r="D34" s="102"/>
      <c r="E34" s="102"/>
      <c r="F34" s="102"/>
      <c r="G34" s="103"/>
      <c r="H34" s="102"/>
      <c r="I34" s="102"/>
      <c r="J34" s="102"/>
      <c r="K34" s="102"/>
      <c r="L34" s="102"/>
      <c r="M34" s="102"/>
      <c r="N34" s="102"/>
      <c r="O34" s="102"/>
      <c r="P34" s="102"/>
      <c r="Q34" s="102"/>
      <c r="R34" s="102"/>
      <c r="S34" s="102"/>
      <c r="T34" s="102"/>
      <c r="U34" s="102"/>
      <c r="V34" s="102"/>
      <c r="W34" s="102"/>
      <c r="X34" s="102"/>
      <c r="Y34" s="102"/>
      <c r="Z34" s="102"/>
      <c r="AA34" s="90"/>
    </row>
    <row r="35" spans="1:27" ht="18" x14ac:dyDescent="0.35">
      <c r="A35" s="105"/>
      <c r="B35" s="106"/>
      <c r="C35" s="106"/>
      <c r="D35" s="106"/>
      <c r="E35" s="106"/>
      <c r="F35" s="106"/>
      <c r="G35" s="124" t="s">
        <v>451</v>
      </c>
      <c r="H35" s="133">
        <v>240</v>
      </c>
      <c r="I35" s="108" t="s">
        <v>155</v>
      </c>
      <c r="J35" s="102"/>
      <c r="K35" s="102"/>
      <c r="L35" s="102"/>
      <c r="M35" s="102"/>
      <c r="N35" s="102"/>
      <c r="O35" s="102"/>
      <c r="P35" s="102"/>
      <c r="Q35" s="102"/>
      <c r="R35" s="102"/>
      <c r="S35" s="102"/>
      <c r="T35" s="102"/>
      <c r="U35" s="102"/>
      <c r="V35" s="102"/>
      <c r="W35" s="102"/>
      <c r="X35" s="102"/>
      <c r="Y35" s="102"/>
      <c r="Z35" s="102"/>
      <c r="AA35" s="90"/>
    </row>
    <row r="36" spans="1:27" x14ac:dyDescent="0.25">
      <c r="A36" s="109"/>
      <c r="B36" s="102"/>
      <c r="C36" s="102"/>
      <c r="D36" s="102"/>
      <c r="E36" s="102"/>
      <c r="F36" s="102"/>
      <c r="G36" s="103" t="s">
        <v>156</v>
      </c>
      <c r="H36" s="135">
        <f>Cout_min*10^6</f>
        <v>492.1875</v>
      </c>
      <c r="I36" s="111" t="s">
        <v>157</v>
      </c>
      <c r="J36" s="102"/>
      <c r="K36" s="102"/>
      <c r="L36" s="102"/>
      <c r="M36" s="102"/>
      <c r="N36" s="102"/>
      <c r="O36" s="102"/>
      <c r="P36" s="102"/>
      <c r="Q36" s="102"/>
      <c r="R36" s="102"/>
      <c r="S36" s="102"/>
      <c r="T36" s="102"/>
      <c r="U36" s="102"/>
      <c r="V36" s="102"/>
      <c r="W36" s="102"/>
      <c r="X36" s="102"/>
      <c r="Y36" s="102"/>
      <c r="Z36" s="102"/>
      <c r="AA36" s="90"/>
    </row>
    <row r="37" spans="1:27" ht="18" x14ac:dyDescent="0.35">
      <c r="A37" s="109"/>
      <c r="B37" s="102"/>
      <c r="C37" s="102"/>
      <c r="D37" s="102"/>
      <c r="E37" s="102"/>
      <c r="F37" s="102"/>
      <c r="G37" s="103" t="s">
        <v>158</v>
      </c>
      <c r="H37" s="134">
        <v>470</v>
      </c>
      <c r="I37" s="111" t="s">
        <v>157</v>
      </c>
      <c r="J37" s="102"/>
      <c r="K37" s="102"/>
      <c r="L37" s="102"/>
      <c r="M37" s="102"/>
      <c r="N37" s="102"/>
      <c r="O37" s="102"/>
      <c r="P37" s="102"/>
      <c r="Q37" s="102"/>
      <c r="R37" s="102"/>
      <c r="S37" s="102"/>
      <c r="T37" s="102"/>
      <c r="U37" s="102"/>
      <c r="V37" s="102"/>
      <c r="W37" s="102"/>
      <c r="X37" s="102"/>
      <c r="Y37" s="102"/>
      <c r="Z37" s="102"/>
      <c r="AA37" s="90"/>
    </row>
    <row r="38" spans="1:27" ht="18.75" thickBot="1" x14ac:dyDescent="0.4">
      <c r="A38" s="119"/>
      <c r="B38" s="115"/>
      <c r="C38" s="115"/>
      <c r="D38" s="115"/>
      <c r="E38" s="115"/>
      <c r="F38" s="115"/>
      <c r="G38" s="122" t="s">
        <v>165</v>
      </c>
      <c r="H38" s="140">
        <v>8</v>
      </c>
      <c r="I38" s="116" t="s">
        <v>92</v>
      </c>
      <c r="J38" s="102"/>
      <c r="K38" s="102"/>
      <c r="L38" s="102"/>
      <c r="M38" s="102"/>
      <c r="N38" s="102"/>
      <c r="O38" s="102"/>
      <c r="P38" s="102"/>
      <c r="Q38" s="102"/>
      <c r="R38" s="102"/>
      <c r="S38" s="102"/>
      <c r="T38" s="102"/>
      <c r="U38" s="102"/>
      <c r="V38" s="102"/>
      <c r="W38" s="102"/>
      <c r="X38" s="102"/>
      <c r="Y38" s="102"/>
      <c r="Z38" s="102"/>
      <c r="AA38" s="90"/>
    </row>
    <row r="39" spans="1:27" x14ac:dyDescent="0.25">
      <c r="A39" s="102"/>
      <c r="B39" s="102"/>
      <c r="C39" s="102"/>
      <c r="D39" s="102"/>
      <c r="E39" s="102"/>
      <c r="F39" s="102"/>
      <c r="G39" s="103"/>
      <c r="H39" s="102"/>
      <c r="I39" s="102"/>
      <c r="J39" s="102"/>
      <c r="K39" s="102"/>
      <c r="L39" s="102"/>
      <c r="M39" s="102"/>
      <c r="N39" s="102"/>
      <c r="O39" s="102"/>
      <c r="P39" s="102"/>
      <c r="Q39" s="102"/>
      <c r="R39" s="102"/>
      <c r="S39" s="102"/>
      <c r="T39" s="102"/>
      <c r="U39" s="102"/>
      <c r="V39" s="102"/>
      <c r="W39" s="102"/>
      <c r="X39" s="102"/>
      <c r="Y39" s="102"/>
      <c r="Z39" s="102"/>
      <c r="AA39" s="90"/>
    </row>
    <row r="40" spans="1:27" ht="15.75" thickBot="1" x14ac:dyDescent="0.3">
      <c r="A40" s="117" t="s">
        <v>548</v>
      </c>
      <c r="B40" s="102"/>
      <c r="C40" s="102"/>
      <c r="D40" s="102"/>
      <c r="E40" s="102"/>
      <c r="F40" s="102"/>
      <c r="G40" s="103"/>
      <c r="H40" s="102"/>
      <c r="I40" s="102"/>
      <c r="J40" s="102"/>
      <c r="K40" s="102"/>
      <c r="L40" s="102"/>
      <c r="M40" s="102"/>
      <c r="N40" s="102"/>
      <c r="O40" s="102"/>
      <c r="P40" s="102"/>
      <c r="Q40" s="102"/>
      <c r="R40" s="102"/>
      <c r="S40" s="102"/>
      <c r="T40" s="102"/>
      <c r="U40" s="102"/>
      <c r="V40" s="102"/>
      <c r="W40" s="102"/>
      <c r="X40" s="102"/>
      <c r="Y40" s="102"/>
      <c r="Z40" s="102"/>
      <c r="AA40" s="90"/>
    </row>
    <row r="41" spans="1:27" ht="18" x14ac:dyDescent="0.35">
      <c r="A41" s="105"/>
      <c r="B41" s="106"/>
      <c r="C41" s="106"/>
      <c r="D41" s="106"/>
      <c r="E41" s="106"/>
      <c r="F41" s="106"/>
      <c r="G41" s="124" t="s">
        <v>285</v>
      </c>
      <c r="H41" s="142">
        <f>Variable_Management!B117*(10^9)</f>
        <v>13.159999999999998</v>
      </c>
      <c r="I41" s="108" t="s">
        <v>183</v>
      </c>
      <c r="J41" s="102"/>
      <c r="K41" s="102"/>
      <c r="L41" s="102"/>
      <c r="M41" s="102"/>
      <c r="N41" s="102"/>
      <c r="O41" s="102"/>
      <c r="P41" s="102"/>
      <c r="Q41" s="102"/>
      <c r="R41" s="102"/>
      <c r="S41" s="102"/>
      <c r="T41" s="102"/>
      <c r="U41" s="102"/>
      <c r="V41" s="102"/>
      <c r="W41" s="102"/>
      <c r="X41" s="102"/>
      <c r="Y41" s="102"/>
      <c r="Z41" s="102"/>
      <c r="AA41" s="90"/>
    </row>
    <row r="42" spans="1:27" ht="18" x14ac:dyDescent="0.35">
      <c r="A42" s="109"/>
      <c r="B42" s="102"/>
      <c r="C42" s="102"/>
      <c r="D42" s="102"/>
      <c r="E42" s="102"/>
      <c r="F42" s="102"/>
      <c r="G42" s="103" t="s">
        <v>290</v>
      </c>
      <c r="H42" s="134">
        <v>10</v>
      </c>
      <c r="I42" s="111" t="s">
        <v>286</v>
      </c>
      <c r="J42" s="102"/>
      <c r="K42" s="102"/>
      <c r="L42" s="102"/>
      <c r="M42" s="102"/>
      <c r="N42" s="102"/>
      <c r="O42" s="102"/>
      <c r="P42" s="102"/>
      <c r="Q42" s="102"/>
      <c r="R42" s="102"/>
      <c r="S42" s="102"/>
      <c r="T42" s="102"/>
      <c r="U42" s="102"/>
      <c r="V42" s="102"/>
      <c r="W42" s="102"/>
      <c r="X42" s="102"/>
      <c r="Y42" s="102"/>
      <c r="Z42" s="102"/>
      <c r="AA42" s="90"/>
    </row>
    <row r="43" spans="1:27" ht="18.75" thickBot="1" x14ac:dyDescent="0.4">
      <c r="A43" s="119"/>
      <c r="B43" s="115"/>
      <c r="C43" s="115"/>
      <c r="D43" s="115"/>
      <c r="E43" s="115"/>
      <c r="F43" s="115"/>
      <c r="G43" s="122" t="s">
        <v>289</v>
      </c>
      <c r="H43" s="143">
        <f>Variable_Management!B119*(10^9)</f>
        <v>381.81818181818176</v>
      </c>
      <c r="I43" s="116" t="s">
        <v>183</v>
      </c>
      <c r="J43" s="102"/>
      <c r="K43" s="102"/>
      <c r="L43" s="102"/>
      <c r="M43" s="102"/>
      <c r="N43" s="102"/>
      <c r="O43" s="102"/>
      <c r="P43" s="102"/>
      <c r="Q43" s="102"/>
      <c r="R43" s="102"/>
      <c r="S43" s="102"/>
      <c r="T43" s="102"/>
      <c r="U43" s="102"/>
      <c r="V43" s="102"/>
      <c r="W43" s="102"/>
      <c r="X43" s="102"/>
      <c r="Y43" s="102"/>
      <c r="Z43" s="102"/>
      <c r="AA43" s="90"/>
    </row>
    <row r="44" spans="1:27" x14ac:dyDescent="0.25">
      <c r="A44" s="102"/>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90"/>
    </row>
    <row r="45" spans="1:27" ht="15.75" thickBot="1" x14ac:dyDescent="0.3">
      <c r="A45" s="117" t="s">
        <v>547</v>
      </c>
      <c r="B45" s="102"/>
      <c r="C45" s="102"/>
      <c r="D45" s="102"/>
      <c r="E45" s="102"/>
      <c r="F45" s="102"/>
      <c r="G45" s="103"/>
      <c r="H45" s="102"/>
      <c r="I45" s="102"/>
      <c r="J45" s="102"/>
      <c r="K45" s="102"/>
      <c r="L45" s="102"/>
      <c r="M45" s="102"/>
      <c r="N45" s="102"/>
      <c r="O45" s="102"/>
      <c r="P45" s="102"/>
      <c r="Q45" s="102"/>
      <c r="R45" s="102"/>
      <c r="S45" s="102"/>
      <c r="T45" s="102"/>
      <c r="U45" s="102"/>
      <c r="V45" s="102"/>
      <c r="W45" s="102"/>
      <c r="X45" s="102"/>
      <c r="Y45" s="102"/>
      <c r="Z45" s="102"/>
      <c r="AA45" s="90"/>
    </row>
    <row r="46" spans="1:27" ht="18" x14ac:dyDescent="0.35">
      <c r="A46" s="105"/>
      <c r="B46" s="106"/>
      <c r="C46" s="106"/>
      <c r="D46" s="106"/>
      <c r="E46" s="106"/>
      <c r="F46" s="106"/>
      <c r="G46" s="124" t="s">
        <v>542</v>
      </c>
      <c r="H46" s="133">
        <v>11.2</v>
      </c>
      <c r="I46" s="108" t="s">
        <v>10</v>
      </c>
      <c r="J46" s="102"/>
      <c r="K46" s="102"/>
      <c r="L46" s="102"/>
      <c r="M46" s="102"/>
      <c r="N46" s="102"/>
      <c r="O46" s="102"/>
      <c r="P46" s="102"/>
      <c r="Q46" s="102"/>
      <c r="R46" s="102"/>
      <c r="S46" s="102"/>
      <c r="T46" s="102"/>
      <c r="U46" s="102"/>
      <c r="V46" s="102"/>
      <c r="W46" s="102"/>
      <c r="X46" s="102"/>
      <c r="Y46" s="102"/>
      <c r="Z46" s="102"/>
      <c r="AA46" s="90"/>
    </row>
    <row r="47" spans="1:27" ht="18" x14ac:dyDescent="0.35">
      <c r="A47" s="109"/>
      <c r="B47" s="102"/>
      <c r="C47" s="102"/>
      <c r="D47" s="102"/>
      <c r="E47" s="102"/>
      <c r="F47" s="102"/>
      <c r="G47" s="103" t="s">
        <v>543</v>
      </c>
      <c r="H47" s="134">
        <v>10</v>
      </c>
      <c r="I47" s="111" t="s">
        <v>10</v>
      </c>
      <c r="J47" s="102"/>
      <c r="K47" s="102"/>
      <c r="L47" s="102"/>
      <c r="M47" s="102"/>
      <c r="N47" s="102"/>
      <c r="O47" s="102"/>
      <c r="P47" s="102"/>
      <c r="Q47" s="102"/>
      <c r="R47" s="102"/>
      <c r="S47" s="102"/>
      <c r="T47" s="102"/>
      <c r="U47" s="102"/>
      <c r="V47" s="102"/>
      <c r="W47" s="102"/>
      <c r="X47" s="102"/>
      <c r="Y47" s="102"/>
      <c r="Z47" s="102"/>
      <c r="AA47" s="90"/>
    </row>
    <row r="48" spans="1:27" ht="18" x14ac:dyDescent="0.35">
      <c r="A48" s="109"/>
      <c r="B48" s="102"/>
      <c r="C48" s="102"/>
      <c r="D48" s="102"/>
      <c r="E48" s="102"/>
      <c r="F48" s="102"/>
      <c r="G48" s="103" t="s">
        <v>544</v>
      </c>
      <c r="H48" s="141">
        <f>Ruvlo_top_calc/1000</f>
        <v>94.545454545454376</v>
      </c>
      <c r="I48" s="121" t="s">
        <v>181</v>
      </c>
      <c r="J48" s="102"/>
      <c r="K48" s="102"/>
      <c r="L48" s="102"/>
      <c r="M48" s="102"/>
      <c r="N48" s="102"/>
      <c r="O48" s="102"/>
      <c r="P48" s="102"/>
      <c r="Q48" s="102"/>
      <c r="R48" s="102"/>
      <c r="S48" s="102"/>
      <c r="T48" s="102"/>
      <c r="U48" s="102"/>
      <c r="V48" s="102"/>
      <c r="W48" s="102"/>
      <c r="X48" s="102"/>
      <c r="Y48" s="102"/>
      <c r="Z48" s="102"/>
      <c r="AA48" s="90"/>
    </row>
    <row r="49" spans="1:27" ht="18" x14ac:dyDescent="0.35">
      <c r="A49" s="109"/>
      <c r="B49" s="102"/>
      <c r="C49" s="102"/>
      <c r="D49" s="102"/>
      <c r="E49" s="102"/>
      <c r="F49" s="102"/>
      <c r="G49" s="103" t="s">
        <v>545</v>
      </c>
      <c r="H49" s="134">
        <v>100</v>
      </c>
      <c r="I49" s="121" t="s">
        <v>181</v>
      </c>
      <c r="J49" s="102"/>
      <c r="K49" s="102"/>
      <c r="L49" s="102"/>
      <c r="M49" s="102"/>
      <c r="N49" s="102"/>
      <c r="O49" s="102"/>
      <c r="P49" s="102"/>
      <c r="Q49" s="102"/>
      <c r="R49" s="102"/>
      <c r="S49" s="102"/>
      <c r="T49" s="102"/>
      <c r="U49" s="102"/>
      <c r="V49" s="102"/>
      <c r="W49" s="102"/>
      <c r="X49" s="102"/>
      <c r="Y49" s="102"/>
      <c r="Z49" s="102"/>
      <c r="AA49" s="90"/>
    </row>
    <row r="50" spans="1:27" ht="18.75" thickBot="1" x14ac:dyDescent="0.4">
      <c r="A50" s="119"/>
      <c r="B50" s="115"/>
      <c r="C50" s="115"/>
      <c r="D50" s="115"/>
      <c r="E50" s="115"/>
      <c r="F50" s="115"/>
      <c r="G50" s="122" t="s">
        <v>546</v>
      </c>
      <c r="H50" s="167">
        <f>Ruvlo_bottom_calc/1000</f>
        <v>10.891089108910894</v>
      </c>
      <c r="I50" s="123" t="s">
        <v>181</v>
      </c>
      <c r="J50" s="102"/>
      <c r="K50" s="102"/>
      <c r="L50" s="102"/>
      <c r="M50" s="102"/>
      <c r="N50" s="102"/>
      <c r="O50" s="102"/>
      <c r="P50" s="102"/>
      <c r="Q50" s="102"/>
      <c r="R50" s="102"/>
      <c r="S50" s="102"/>
      <c r="T50" s="102"/>
      <c r="U50" s="102"/>
      <c r="V50" s="102"/>
      <c r="W50" s="102"/>
      <c r="X50" s="102"/>
      <c r="Y50" s="102"/>
      <c r="Z50" s="102"/>
      <c r="AA50" s="90"/>
    </row>
    <row r="51" spans="1:27" x14ac:dyDescent="0.25">
      <c r="A51" s="102"/>
      <c r="B51" s="102"/>
      <c r="C51" s="102"/>
      <c r="D51" s="102"/>
      <c r="E51" s="102"/>
      <c r="F51" s="102"/>
      <c r="G51" s="103"/>
      <c r="H51" s="102"/>
      <c r="I51" s="102"/>
      <c r="J51" s="102"/>
      <c r="K51" s="102"/>
      <c r="L51" s="102"/>
      <c r="M51" s="102"/>
      <c r="N51" s="102"/>
      <c r="O51" s="102"/>
      <c r="P51" s="102"/>
      <c r="Q51" s="102"/>
      <c r="R51" s="102"/>
      <c r="S51" s="102"/>
      <c r="T51" s="102"/>
      <c r="U51" s="102"/>
      <c r="V51" s="102"/>
      <c r="W51" s="102"/>
      <c r="X51" s="102"/>
      <c r="Y51" s="102"/>
      <c r="Z51" s="102"/>
      <c r="AA51" s="90"/>
    </row>
    <row r="52" spans="1:27" x14ac:dyDescent="0.25">
      <c r="A52" s="102"/>
      <c r="B52" s="102"/>
      <c r="C52" s="102"/>
      <c r="D52" s="102"/>
      <c r="E52" s="102"/>
      <c r="F52" s="102"/>
      <c r="G52" s="103"/>
      <c r="H52" s="102"/>
      <c r="I52" s="102"/>
      <c r="J52" s="102"/>
      <c r="K52" s="102"/>
      <c r="L52" s="102"/>
      <c r="M52" s="102"/>
      <c r="N52" s="102"/>
      <c r="O52" s="102"/>
      <c r="P52" s="102"/>
      <c r="Q52" s="102"/>
      <c r="R52" s="102"/>
      <c r="S52" s="102"/>
      <c r="T52" s="102"/>
      <c r="U52" s="102"/>
      <c r="V52" s="102"/>
      <c r="W52" s="102"/>
      <c r="X52" s="102"/>
      <c r="Y52" s="102"/>
      <c r="Z52" s="102"/>
      <c r="AA52" s="90"/>
    </row>
    <row r="53" spans="1:27" ht="15.75" thickBot="1" x14ac:dyDescent="0.3">
      <c r="A53" s="117" t="s">
        <v>313</v>
      </c>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90"/>
    </row>
    <row r="54" spans="1:27" ht="18" x14ac:dyDescent="0.35">
      <c r="A54" s="125"/>
      <c r="B54" s="106"/>
      <c r="C54" s="106"/>
      <c r="D54" s="106"/>
      <c r="E54" s="106"/>
      <c r="F54" s="106"/>
      <c r="G54" s="126" t="s">
        <v>416</v>
      </c>
      <c r="H54" s="144" t="str">
        <f>VIN_nom&amp;"V"</f>
        <v>12V</v>
      </c>
      <c r="I54" s="108"/>
      <c r="J54" s="102"/>
      <c r="K54" s="102"/>
      <c r="L54" s="102"/>
      <c r="M54" s="102"/>
      <c r="N54" s="102"/>
      <c r="O54" s="102"/>
      <c r="P54" s="102"/>
      <c r="Q54" s="102"/>
      <c r="R54" s="102"/>
      <c r="S54" s="102"/>
      <c r="T54" s="102"/>
      <c r="U54" s="102"/>
      <c r="V54" s="102"/>
      <c r="W54" s="102"/>
      <c r="X54" s="102"/>
      <c r="Y54" s="102"/>
      <c r="Z54" s="102"/>
      <c r="AA54" s="90"/>
    </row>
    <row r="55" spans="1:27" x14ac:dyDescent="0.25">
      <c r="A55" s="109"/>
      <c r="B55" s="102"/>
      <c r="C55" s="102"/>
      <c r="D55" s="102"/>
      <c r="E55" s="102"/>
      <c r="F55" s="102"/>
      <c r="G55" s="128" t="s">
        <v>564</v>
      </c>
      <c r="H55" s="145"/>
      <c r="I55" s="111"/>
      <c r="J55" s="102"/>
      <c r="K55" s="102"/>
      <c r="L55" s="102"/>
      <c r="M55" s="102"/>
      <c r="N55" s="102"/>
      <c r="O55" s="102"/>
      <c r="P55" s="102"/>
      <c r="Q55" s="102"/>
      <c r="R55" s="102"/>
      <c r="S55" s="102"/>
      <c r="T55" s="102"/>
      <c r="U55" s="102"/>
      <c r="V55" s="102"/>
      <c r="W55" s="102"/>
      <c r="X55" s="102"/>
      <c r="Y55" s="102"/>
      <c r="Z55" s="102"/>
      <c r="AA55" s="90"/>
    </row>
    <row r="56" spans="1:27" x14ac:dyDescent="0.25">
      <c r="A56" s="127"/>
      <c r="B56" s="102"/>
      <c r="C56" s="102"/>
      <c r="D56" s="102"/>
      <c r="E56" s="102"/>
      <c r="F56" s="102"/>
      <c r="G56" s="103" t="s">
        <v>519</v>
      </c>
      <c r="H56" s="147" t="str">
        <f>CHOOSE(VOUT_range,"Low","High")</f>
        <v>High</v>
      </c>
      <c r="I56" s="111"/>
      <c r="J56" s="102"/>
      <c r="K56" s="102"/>
      <c r="L56" s="102"/>
      <c r="M56" s="102"/>
      <c r="N56" s="102"/>
      <c r="O56" s="102"/>
      <c r="P56" s="102"/>
      <c r="Q56" s="102"/>
      <c r="R56" s="102"/>
      <c r="S56" s="102"/>
      <c r="T56" s="102"/>
      <c r="U56" s="102"/>
      <c r="V56" s="102"/>
      <c r="W56" s="102"/>
      <c r="X56" s="102"/>
      <c r="Y56" s="102"/>
      <c r="Z56" s="102"/>
      <c r="AA56" s="90"/>
    </row>
    <row r="57" spans="1:27" ht="18" x14ac:dyDescent="0.35">
      <c r="A57" s="127"/>
      <c r="B57" s="102"/>
      <c r="C57" s="102"/>
      <c r="D57" s="102"/>
      <c r="E57" s="102"/>
      <c r="F57" s="102"/>
      <c r="G57" s="103" t="s">
        <v>566</v>
      </c>
      <c r="H57" s="146">
        <f>VTRK</f>
        <v>0.35</v>
      </c>
      <c r="I57" s="121" t="s">
        <v>10</v>
      </c>
      <c r="J57" s="102"/>
      <c r="K57" s="102"/>
      <c r="L57" s="102"/>
      <c r="M57" s="102"/>
      <c r="N57" s="102"/>
      <c r="O57" s="102"/>
      <c r="P57" s="102"/>
      <c r="Q57" s="102"/>
      <c r="R57" s="102"/>
      <c r="S57" s="102"/>
      <c r="T57" s="102"/>
      <c r="U57" s="102"/>
      <c r="V57" s="102"/>
      <c r="W57" s="102"/>
      <c r="X57" s="102"/>
      <c r="Y57" s="102"/>
      <c r="Z57" s="102"/>
      <c r="AA57" s="90"/>
    </row>
    <row r="58" spans="1:27" ht="18" x14ac:dyDescent="0.35">
      <c r="A58" s="127"/>
      <c r="B58" s="102"/>
      <c r="C58" s="102"/>
      <c r="D58" s="102"/>
      <c r="E58" s="102"/>
      <c r="F58" s="102"/>
      <c r="G58" s="103" t="s">
        <v>599</v>
      </c>
      <c r="H58" s="163">
        <f>Variable_Management!B144/1000</f>
        <v>13</v>
      </c>
      <c r="I58" s="121" t="s">
        <v>181</v>
      </c>
      <c r="J58" s="102"/>
      <c r="K58" s="102"/>
      <c r="L58" s="102"/>
      <c r="M58" s="102"/>
      <c r="N58" s="102"/>
      <c r="O58" s="102"/>
      <c r="P58" s="102"/>
      <c r="Q58" s="102"/>
      <c r="R58" s="102"/>
      <c r="S58" s="102"/>
      <c r="T58" s="102"/>
      <c r="U58" s="102"/>
      <c r="V58" s="102"/>
      <c r="W58" s="102"/>
      <c r="X58" s="102"/>
      <c r="Y58" s="102"/>
      <c r="Z58" s="102"/>
      <c r="AA58" s="90"/>
    </row>
    <row r="59" spans="1:27" ht="18" x14ac:dyDescent="0.35">
      <c r="A59" s="127"/>
      <c r="B59" s="102"/>
      <c r="C59" s="102"/>
      <c r="D59" s="102"/>
      <c r="E59" s="102"/>
      <c r="F59" s="102"/>
      <c r="G59" s="103" t="s">
        <v>600</v>
      </c>
      <c r="H59" s="163">
        <f>Variable_Management!B143/1000</f>
        <v>22.75</v>
      </c>
      <c r="I59" s="121" t="s">
        <v>181</v>
      </c>
      <c r="J59" s="102"/>
      <c r="K59" s="102"/>
      <c r="L59" s="102"/>
      <c r="M59" s="102"/>
      <c r="N59" s="102"/>
      <c r="O59" s="102"/>
      <c r="P59" s="102"/>
      <c r="Q59" s="102"/>
      <c r="R59" s="102"/>
      <c r="S59" s="102"/>
      <c r="T59" s="102"/>
      <c r="U59" s="102"/>
      <c r="V59" s="102"/>
      <c r="W59" s="102"/>
      <c r="X59" s="102"/>
      <c r="Y59" s="102"/>
      <c r="Z59" s="102"/>
      <c r="AA59" s="90"/>
    </row>
    <row r="60" spans="1:27" ht="18" x14ac:dyDescent="0.35">
      <c r="A60" s="127"/>
      <c r="B60" s="102"/>
      <c r="C60" s="102"/>
      <c r="D60" s="102"/>
      <c r="E60" s="102"/>
      <c r="F60" s="102"/>
      <c r="G60" s="103" t="s">
        <v>592</v>
      </c>
      <c r="H60" s="134">
        <v>20</v>
      </c>
      <c r="I60" s="121" t="s">
        <v>181</v>
      </c>
      <c r="J60" s="102"/>
      <c r="K60" s="102"/>
      <c r="L60" s="102"/>
      <c r="M60" s="102"/>
      <c r="N60" s="102"/>
      <c r="O60" s="102"/>
      <c r="P60" s="102"/>
      <c r="Q60" s="102"/>
      <c r="R60" s="102"/>
      <c r="S60" s="102"/>
      <c r="T60" s="102"/>
      <c r="U60" s="102"/>
      <c r="V60" s="102"/>
      <c r="W60" s="102"/>
      <c r="X60" s="102"/>
      <c r="Y60" s="102"/>
      <c r="Z60" s="102"/>
      <c r="AA60" s="90"/>
    </row>
    <row r="61" spans="1:27" ht="18" x14ac:dyDescent="0.35">
      <c r="A61" s="109"/>
      <c r="B61" s="102"/>
      <c r="C61" s="102"/>
      <c r="D61" s="102"/>
      <c r="E61" s="102"/>
      <c r="F61" s="102"/>
      <c r="G61" s="103" t="s">
        <v>565</v>
      </c>
      <c r="H61" s="185">
        <f>RFBB_calc/1000</f>
        <v>10.76923076923077</v>
      </c>
      <c r="I61" s="121" t="s">
        <v>181</v>
      </c>
      <c r="J61" s="102"/>
      <c r="K61" s="102"/>
      <c r="L61" s="102"/>
      <c r="M61" s="102"/>
      <c r="N61" s="102"/>
      <c r="O61" s="102"/>
      <c r="P61" s="102"/>
      <c r="Q61" s="102"/>
      <c r="R61" s="102"/>
      <c r="S61" s="102"/>
      <c r="T61" s="102"/>
      <c r="U61" s="102"/>
      <c r="V61" s="102"/>
      <c r="W61" s="102"/>
      <c r="X61" s="102"/>
      <c r="Y61" s="102"/>
      <c r="Z61" s="102"/>
      <c r="AA61" s="90"/>
    </row>
    <row r="62" spans="1:27" ht="18" x14ac:dyDescent="0.35">
      <c r="A62" s="109"/>
      <c r="B62" s="102"/>
      <c r="C62" s="102"/>
      <c r="D62" s="102"/>
      <c r="E62" s="102"/>
      <c r="F62" s="102"/>
      <c r="G62" s="103" t="s">
        <v>596</v>
      </c>
      <c r="H62" s="134">
        <v>11</v>
      </c>
      <c r="I62" s="121" t="s">
        <v>181</v>
      </c>
      <c r="J62" s="102"/>
      <c r="K62" s="102"/>
      <c r="L62" s="102"/>
      <c r="M62" s="102"/>
      <c r="N62" s="102"/>
      <c r="O62" s="102"/>
      <c r="P62" s="102"/>
      <c r="Q62" s="102"/>
      <c r="R62" s="102"/>
      <c r="S62" s="102"/>
      <c r="T62" s="102"/>
      <c r="U62" s="102"/>
      <c r="V62" s="102"/>
      <c r="W62" s="102"/>
      <c r="X62" s="102"/>
      <c r="Y62" s="102"/>
      <c r="Z62" s="102"/>
      <c r="AA62" s="90"/>
    </row>
    <row r="63" spans="1:27" x14ac:dyDescent="0.25">
      <c r="A63" s="109"/>
      <c r="B63" s="102"/>
      <c r="C63" s="102"/>
      <c r="D63" s="102"/>
      <c r="E63" s="102"/>
      <c r="F63" s="102"/>
      <c r="G63" s="103"/>
      <c r="H63" s="136"/>
      <c r="I63" s="121"/>
      <c r="J63" s="102"/>
      <c r="K63" s="102"/>
      <c r="L63" s="102"/>
      <c r="M63" s="102"/>
      <c r="N63" s="102"/>
      <c r="O63" s="102"/>
      <c r="P63" s="102"/>
      <c r="Q63" s="102"/>
      <c r="R63" s="102"/>
      <c r="S63" s="102"/>
      <c r="T63" s="102"/>
      <c r="U63" s="102"/>
      <c r="V63" s="102"/>
      <c r="W63" s="102"/>
      <c r="X63" s="102"/>
      <c r="Y63" s="102"/>
      <c r="Z63" s="102"/>
      <c r="AA63" s="90"/>
    </row>
    <row r="64" spans="1:27" ht="18" x14ac:dyDescent="0.35">
      <c r="A64" s="109"/>
      <c r="B64" s="102"/>
      <c r="C64" s="102"/>
      <c r="D64" s="102"/>
      <c r="E64" s="102"/>
      <c r="F64" s="102"/>
      <c r="G64" s="103" t="s">
        <v>598</v>
      </c>
      <c r="H64" s="163">
        <f>fcross_est/1000</f>
        <v>10.105075751866371</v>
      </c>
      <c r="I64" s="111" t="s">
        <v>12</v>
      </c>
      <c r="J64" s="102"/>
      <c r="K64" s="102"/>
      <c r="L64" s="102"/>
      <c r="M64" s="102"/>
      <c r="N64" s="102"/>
      <c r="O64" s="102"/>
      <c r="P64" s="102"/>
      <c r="Q64" s="102"/>
      <c r="R64" s="102"/>
      <c r="S64" s="102"/>
      <c r="T64" s="102"/>
      <c r="U64" s="102"/>
      <c r="V64" s="102"/>
      <c r="W64" s="102"/>
      <c r="X64" s="102"/>
      <c r="Y64" s="102"/>
      <c r="Z64" s="102"/>
      <c r="AA64" s="90"/>
    </row>
    <row r="65" spans="1:27" ht="18" x14ac:dyDescent="0.35">
      <c r="A65" s="109"/>
      <c r="B65" s="102"/>
      <c r="C65" s="102"/>
      <c r="D65" s="102"/>
      <c r="E65" s="102"/>
      <c r="F65" s="102"/>
      <c r="G65" s="103" t="s">
        <v>597</v>
      </c>
      <c r="H65" s="134">
        <v>5.5</v>
      </c>
      <c r="I65" s="111" t="s">
        <v>12</v>
      </c>
      <c r="J65" s="102"/>
      <c r="K65" s="102"/>
      <c r="L65" s="102"/>
      <c r="M65" s="102"/>
      <c r="N65" s="102"/>
      <c r="O65" s="102"/>
      <c r="P65" s="102"/>
      <c r="Q65" s="102"/>
      <c r="R65" s="102"/>
      <c r="S65" s="102"/>
      <c r="T65" s="102"/>
      <c r="U65" s="102"/>
      <c r="V65" s="102"/>
      <c r="W65" s="102"/>
      <c r="X65" s="102"/>
      <c r="Y65" s="102"/>
      <c r="Z65" s="102"/>
      <c r="AA65" s="90"/>
    </row>
    <row r="66" spans="1:27" x14ac:dyDescent="0.25">
      <c r="A66" s="109"/>
      <c r="B66" s="102"/>
      <c r="C66" s="102"/>
      <c r="D66" s="102"/>
      <c r="E66" s="102"/>
      <c r="F66" s="102"/>
      <c r="G66" s="103"/>
      <c r="H66" s="136"/>
      <c r="I66" s="111"/>
      <c r="J66" s="102"/>
      <c r="K66" s="102"/>
      <c r="L66" s="102"/>
      <c r="M66" s="102"/>
      <c r="N66" s="102"/>
      <c r="O66" s="102"/>
      <c r="P66" s="102"/>
      <c r="Q66" s="102"/>
      <c r="R66" s="102"/>
      <c r="S66" s="102"/>
      <c r="T66" s="102"/>
      <c r="U66" s="102"/>
      <c r="V66" s="102"/>
      <c r="W66" s="102"/>
      <c r="X66" s="102"/>
      <c r="Y66" s="102"/>
      <c r="Z66" s="102"/>
      <c r="AA66" s="90"/>
    </row>
    <row r="67" spans="1:27" ht="15.75" thickBot="1" x14ac:dyDescent="0.3">
      <c r="A67" s="109"/>
      <c r="B67" s="102"/>
      <c r="C67" s="102"/>
      <c r="D67" s="102"/>
      <c r="E67" s="102"/>
      <c r="F67" s="129" t="s">
        <v>266</v>
      </c>
      <c r="G67" s="129"/>
      <c r="H67" s="147" t="s">
        <v>267</v>
      </c>
      <c r="I67" s="130"/>
      <c r="J67" s="102"/>
      <c r="K67" s="102"/>
      <c r="L67" s="102"/>
      <c r="M67" s="102"/>
      <c r="N67" s="102"/>
      <c r="O67" s="102"/>
      <c r="P67" s="102"/>
      <c r="Q67" s="102"/>
      <c r="R67" s="102"/>
      <c r="S67" s="102"/>
      <c r="T67" s="102"/>
      <c r="U67" s="102"/>
      <c r="V67" s="102"/>
      <c r="W67" s="102"/>
      <c r="X67" s="102"/>
      <c r="Y67" s="102"/>
      <c r="Z67" s="102"/>
      <c r="AA67" s="90"/>
    </row>
    <row r="68" spans="1:27" ht="18.75" thickBot="1" x14ac:dyDescent="0.4">
      <c r="A68" s="109"/>
      <c r="B68" s="102"/>
      <c r="C68" s="102"/>
      <c r="D68" s="102"/>
      <c r="E68" s="103" t="s">
        <v>265</v>
      </c>
      <c r="F68" s="186">
        <f>RCOMP_Calc/1000</f>
        <v>30.271965416418418</v>
      </c>
      <c r="G68" s="169" t="s">
        <v>181</v>
      </c>
      <c r="H68" s="149">
        <v>35</v>
      </c>
      <c r="I68" s="121" t="s">
        <v>181</v>
      </c>
      <c r="J68" s="102"/>
      <c r="K68" s="102"/>
      <c r="L68" s="102"/>
      <c r="M68" s="102"/>
      <c r="N68" s="102"/>
      <c r="O68" s="102"/>
      <c r="P68" s="102"/>
      <c r="Q68" s="102"/>
      <c r="R68" s="102"/>
      <c r="S68" s="102"/>
      <c r="T68" s="102"/>
      <c r="U68" s="102"/>
      <c r="V68" s="102"/>
      <c r="W68" s="102"/>
      <c r="X68" s="102"/>
      <c r="Y68" s="102"/>
      <c r="Z68" s="102"/>
      <c r="AA68" s="90"/>
    </row>
    <row r="69" spans="1:27" ht="18.75" thickBot="1" x14ac:dyDescent="0.4">
      <c r="A69" s="109"/>
      <c r="B69" s="102"/>
      <c r="C69" s="102"/>
      <c r="D69" s="102"/>
      <c r="E69" s="103" t="s">
        <v>380</v>
      </c>
      <c r="F69" s="186">
        <f>CCOMP_Calc*(10^9)</f>
        <v>2.8879347056610283</v>
      </c>
      <c r="G69" s="169" t="s">
        <v>183</v>
      </c>
      <c r="H69" s="149">
        <v>3.3</v>
      </c>
      <c r="I69" s="111" t="s">
        <v>183</v>
      </c>
      <c r="J69" s="102"/>
      <c r="K69" s="102"/>
      <c r="L69" s="102"/>
      <c r="M69" s="102"/>
      <c r="N69" s="102"/>
      <c r="O69" s="102"/>
      <c r="P69" s="102"/>
      <c r="Q69" s="102"/>
      <c r="R69" s="102"/>
      <c r="S69" s="102"/>
      <c r="T69" s="102"/>
      <c r="U69" s="102"/>
      <c r="V69" s="102"/>
      <c r="W69" s="102"/>
      <c r="X69" s="102"/>
      <c r="Y69" s="102"/>
      <c r="Z69" s="102"/>
      <c r="AA69" s="90"/>
    </row>
    <row r="70" spans="1:27" ht="18.75" thickBot="1" x14ac:dyDescent="0.4">
      <c r="A70" s="119"/>
      <c r="B70" s="115"/>
      <c r="C70" s="115"/>
      <c r="D70" s="115"/>
      <c r="E70" s="122" t="s">
        <v>381</v>
      </c>
      <c r="F70" s="148">
        <f>CHF_calc*(10^12)</f>
        <v>23.580686510481915</v>
      </c>
      <c r="G70" s="170" t="s">
        <v>182</v>
      </c>
      <c r="H70" s="140">
        <v>100</v>
      </c>
      <c r="I70" s="116" t="s">
        <v>182</v>
      </c>
      <c r="J70" s="102"/>
      <c r="K70" s="102"/>
      <c r="L70" s="102"/>
      <c r="M70" s="102"/>
      <c r="N70" s="102"/>
      <c r="O70" s="102"/>
      <c r="P70" s="102"/>
      <c r="Q70" s="102"/>
      <c r="R70" s="102"/>
      <c r="S70" s="102"/>
      <c r="T70" s="102"/>
      <c r="U70" s="102"/>
      <c r="V70" s="102"/>
      <c r="W70" s="102"/>
      <c r="X70" s="102"/>
      <c r="Y70" s="102"/>
      <c r="Z70" s="102"/>
      <c r="AA70" s="90"/>
    </row>
    <row r="71" spans="1:27" x14ac:dyDescent="0.25">
      <c r="A71" s="92"/>
      <c r="B71" s="92"/>
      <c r="C71" s="92"/>
      <c r="D71" s="92"/>
      <c r="E71" s="93"/>
      <c r="F71" s="184"/>
      <c r="G71" s="93"/>
      <c r="H71" s="92"/>
      <c r="I71" s="92"/>
      <c r="J71" s="92"/>
      <c r="K71" s="92"/>
      <c r="L71" s="92"/>
      <c r="M71" s="92"/>
      <c r="N71" s="92"/>
      <c r="O71" s="92"/>
      <c r="P71" s="92"/>
      <c r="Q71" s="92"/>
      <c r="R71" s="92"/>
      <c r="S71" s="92"/>
      <c r="T71" s="92"/>
      <c r="U71" s="92"/>
      <c r="V71" s="92"/>
      <c r="W71" s="92"/>
      <c r="X71" s="92"/>
      <c r="Y71" s="92"/>
      <c r="Z71" s="92"/>
      <c r="AA71" s="90"/>
    </row>
    <row r="72" spans="1:27" s="159" customFormat="1" ht="23.25" x14ac:dyDescent="0.35">
      <c r="A72" s="171" t="s">
        <v>264</v>
      </c>
      <c r="B72" s="172"/>
      <c r="C72" s="172"/>
      <c r="D72" s="172"/>
      <c r="E72" s="172"/>
      <c r="F72" s="172"/>
      <c r="G72" s="173"/>
      <c r="H72" s="172"/>
      <c r="I72" s="172"/>
      <c r="J72" s="172"/>
      <c r="K72" s="172"/>
      <c r="L72" s="172"/>
      <c r="M72" s="172"/>
      <c r="N72" s="172"/>
      <c r="O72" s="172"/>
      <c r="P72" s="172"/>
      <c r="Q72" s="172"/>
      <c r="R72" s="172"/>
      <c r="S72" s="172"/>
      <c r="T72" s="172"/>
      <c r="U72" s="172"/>
      <c r="V72" s="172"/>
      <c r="W72" s="172"/>
      <c r="X72" s="174"/>
      <c r="Y72" s="174"/>
      <c r="Z72" s="174"/>
      <c r="AA72" s="189"/>
    </row>
    <row r="73" spans="1:27" s="159" customFormat="1" x14ac:dyDescent="0.25">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4"/>
      <c r="Y73" s="174"/>
      <c r="Z73" s="174"/>
      <c r="AA73" s="189"/>
    </row>
    <row r="74" spans="1:27" s="159" customFormat="1" ht="18.75" thickBot="1" x14ac:dyDescent="0.4">
      <c r="A74" s="175" t="s">
        <v>594</v>
      </c>
      <c r="B74" s="172"/>
      <c r="C74" s="172"/>
      <c r="D74" s="172"/>
      <c r="E74" s="172"/>
      <c r="F74" s="172"/>
      <c r="G74" s="172"/>
      <c r="H74" s="172"/>
      <c r="I74" s="172"/>
      <c r="J74" s="172"/>
      <c r="K74" s="172"/>
      <c r="L74" s="172"/>
      <c r="M74" s="172"/>
      <c r="N74" s="172"/>
      <c r="O74" s="172"/>
      <c r="P74" s="172"/>
      <c r="Q74" s="172"/>
      <c r="R74" s="172"/>
      <c r="S74" s="172"/>
      <c r="T74" s="172"/>
      <c r="U74" s="172"/>
      <c r="V74" s="172"/>
      <c r="W74" s="172"/>
      <c r="X74" s="174"/>
      <c r="Y74" s="174"/>
      <c r="Z74" s="174"/>
      <c r="AA74" s="189"/>
    </row>
    <row r="75" spans="1:27" s="159" customFormat="1" ht="15.75" x14ac:dyDescent="0.3">
      <c r="A75" s="190"/>
      <c r="B75" s="191"/>
      <c r="C75" s="191"/>
      <c r="D75" s="191"/>
      <c r="E75" s="191"/>
      <c r="F75" s="191"/>
      <c r="G75" s="192" t="s">
        <v>510</v>
      </c>
      <c r="H75" s="207">
        <v>8.8000000000000007</v>
      </c>
      <c r="I75" s="193" t="s">
        <v>334</v>
      </c>
      <c r="J75" s="172"/>
      <c r="K75" s="172"/>
      <c r="L75" s="172"/>
      <c r="M75" s="172"/>
      <c r="N75" s="172"/>
      <c r="O75" s="172"/>
      <c r="P75" s="172"/>
      <c r="Q75" s="172"/>
      <c r="R75" s="172"/>
      <c r="S75" s="172"/>
      <c r="T75" s="172"/>
      <c r="U75" s="172"/>
      <c r="V75" s="172"/>
      <c r="W75" s="172"/>
      <c r="X75" s="174"/>
      <c r="Y75" s="174"/>
      <c r="Z75" s="174"/>
      <c r="AA75" s="189"/>
    </row>
    <row r="76" spans="1:27" s="159" customFormat="1" ht="15.75" x14ac:dyDescent="0.3">
      <c r="A76" s="194"/>
      <c r="B76" s="172"/>
      <c r="C76" s="172"/>
      <c r="D76" s="172"/>
      <c r="E76" s="172"/>
      <c r="F76" s="172"/>
      <c r="G76" s="176" t="s">
        <v>511</v>
      </c>
      <c r="H76" s="208">
        <v>10</v>
      </c>
      <c r="I76" s="195" t="s">
        <v>335</v>
      </c>
      <c r="J76" s="172"/>
      <c r="K76" s="172"/>
      <c r="L76" s="172"/>
      <c r="M76" s="172"/>
      <c r="N76" s="172"/>
      <c r="O76" s="172"/>
      <c r="P76" s="172"/>
      <c r="Q76" s="172"/>
      <c r="R76" s="172"/>
      <c r="S76" s="172"/>
      <c r="T76" s="172"/>
      <c r="U76" s="172"/>
      <c r="V76" s="172"/>
      <c r="W76" s="172"/>
      <c r="X76" s="174"/>
      <c r="Y76" s="174"/>
      <c r="Z76" s="174"/>
      <c r="AA76" s="189"/>
    </row>
    <row r="77" spans="1:27" s="159" customFormat="1" ht="15.75" x14ac:dyDescent="0.3">
      <c r="A77" s="194"/>
      <c r="B77" s="172"/>
      <c r="C77" s="172"/>
      <c r="D77" s="172"/>
      <c r="E77" s="172"/>
      <c r="F77" s="172"/>
      <c r="G77" s="176" t="s">
        <v>512</v>
      </c>
      <c r="H77" s="208">
        <v>2.4</v>
      </c>
      <c r="I77" s="195" t="s">
        <v>335</v>
      </c>
      <c r="J77" s="172"/>
      <c r="K77" s="172"/>
      <c r="L77" s="172"/>
      <c r="M77" s="172"/>
      <c r="N77" s="172"/>
      <c r="O77" s="172"/>
      <c r="P77" s="172"/>
      <c r="Q77" s="172"/>
      <c r="R77" s="172"/>
      <c r="S77" s="172"/>
      <c r="T77" s="172"/>
      <c r="U77" s="172"/>
      <c r="V77" s="172"/>
      <c r="W77" s="172"/>
      <c r="X77" s="174"/>
      <c r="Y77" s="174"/>
      <c r="Z77" s="174"/>
      <c r="AA77" s="189"/>
    </row>
    <row r="78" spans="1:27" s="159" customFormat="1" ht="15.75" x14ac:dyDescent="0.3">
      <c r="A78" s="196"/>
      <c r="B78" s="172"/>
      <c r="C78" s="172"/>
      <c r="D78" s="172"/>
      <c r="E78" s="172"/>
      <c r="F78" s="172"/>
      <c r="G78" s="176" t="s">
        <v>513</v>
      </c>
      <c r="H78" s="208">
        <v>4.5</v>
      </c>
      <c r="I78" s="195" t="s">
        <v>335</v>
      </c>
      <c r="J78" s="172"/>
      <c r="K78" s="172"/>
      <c r="L78" s="172"/>
      <c r="M78" s="172"/>
      <c r="N78" s="172"/>
      <c r="O78" s="172"/>
      <c r="P78" s="172"/>
      <c r="Q78" s="172"/>
      <c r="R78" s="172"/>
      <c r="S78" s="172"/>
      <c r="T78" s="172"/>
      <c r="U78" s="172"/>
      <c r="V78" s="172"/>
      <c r="W78" s="172"/>
      <c r="X78" s="174"/>
      <c r="Y78" s="174"/>
      <c r="Z78" s="174"/>
      <c r="AA78" s="189"/>
    </row>
    <row r="79" spans="1:27" s="159" customFormat="1" ht="15.75" x14ac:dyDescent="0.3">
      <c r="A79" s="196"/>
      <c r="B79" s="172"/>
      <c r="C79" s="172"/>
      <c r="D79" s="172"/>
      <c r="E79" s="172"/>
      <c r="F79" s="172"/>
      <c r="G79" s="176" t="s">
        <v>514</v>
      </c>
      <c r="H79" s="208">
        <v>0</v>
      </c>
      <c r="I79" s="195" t="s">
        <v>336</v>
      </c>
      <c r="J79" s="172"/>
      <c r="K79" s="172"/>
      <c r="L79" s="172"/>
      <c r="M79" s="172"/>
      <c r="N79" s="172"/>
      <c r="O79" s="172"/>
      <c r="P79" s="172"/>
      <c r="Q79" s="172"/>
      <c r="R79" s="172"/>
      <c r="S79" s="172"/>
      <c r="T79" s="172"/>
      <c r="U79" s="172"/>
      <c r="V79" s="172"/>
      <c r="W79" s="172"/>
      <c r="X79" s="174"/>
      <c r="Y79" s="174"/>
      <c r="Z79" s="174"/>
      <c r="AA79" s="189"/>
    </row>
    <row r="80" spans="1:27" s="159" customFormat="1" ht="16.5" thickBot="1" x14ac:dyDescent="0.35">
      <c r="A80" s="197"/>
      <c r="B80" s="198"/>
      <c r="C80" s="198"/>
      <c r="D80" s="198"/>
      <c r="E80" s="198"/>
      <c r="F80" s="198"/>
      <c r="G80" s="199" t="s">
        <v>515</v>
      </c>
      <c r="H80" s="209">
        <v>1.7</v>
      </c>
      <c r="I80" s="200" t="s">
        <v>10</v>
      </c>
      <c r="J80" s="172"/>
      <c r="K80" s="172"/>
      <c r="L80" s="172"/>
      <c r="M80" s="172"/>
      <c r="N80" s="172"/>
      <c r="O80" s="172"/>
      <c r="P80" s="172"/>
      <c r="Q80" s="172"/>
      <c r="R80" s="172"/>
      <c r="S80" s="172"/>
      <c r="T80" s="172"/>
      <c r="U80" s="172"/>
      <c r="V80" s="172"/>
      <c r="W80" s="172"/>
      <c r="X80" s="174"/>
      <c r="Y80" s="174"/>
      <c r="Z80" s="174"/>
      <c r="AA80" s="189"/>
    </row>
    <row r="81" spans="1:27" s="159" customFormat="1" x14ac:dyDescent="0.25">
      <c r="A81" s="172"/>
      <c r="B81" s="172"/>
      <c r="C81" s="172"/>
      <c r="D81" s="172"/>
      <c r="E81" s="172"/>
      <c r="F81" s="172"/>
      <c r="G81" s="173"/>
      <c r="H81" s="172"/>
      <c r="I81" s="172"/>
      <c r="J81" s="172"/>
      <c r="K81" s="172"/>
      <c r="L81" s="172"/>
      <c r="M81" s="172"/>
      <c r="N81" s="172"/>
      <c r="O81" s="172"/>
      <c r="P81" s="172"/>
      <c r="Q81" s="172"/>
      <c r="R81" s="172"/>
      <c r="S81" s="172"/>
      <c r="T81" s="172"/>
      <c r="U81" s="172"/>
      <c r="V81" s="172"/>
      <c r="W81" s="172"/>
      <c r="X81" s="174"/>
      <c r="Y81" s="174"/>
      <c r="Z81" s="174"/>
      <c r="AA81" s="189"/>
    </row>
    <row r="82" spans="1:27" s="159" customFormat="1" ht="18.75" thickBot="1" x14ac:dyDescent="0.4">
      <c r="A82" s="175" t="s">
        <v>595</v>
      </c>
      <c r="B82" s="172"/>
      <c r="C82" s="172"/>
      <c r="D82" s="172"/>
      <c r="E82" s="172"/>
      <c r="F82" s="172"/>
      <c r="G82" s="173"/>
      <c r="H82" s="172"/>
      <c r="I82" s="172"/>
      <c r="J82" s="172"/>
      <c r="K82" s="172"/>
      <c r="L82" s="172"/>
      <c r="M82" s="172"/>
      <c r="N82" s="172"/>
      <c r="O82" s="172"/>
      <c r="P82" s="172"/>
      <c r="Q82" s="172"/>
      <c r="R82" s="172"/>
      <c r="S82" s="172"/>
      <c r="T82" s="172"/>
      <c r="U82" s="172"/>
      <c r="V82" s="172"/>
      <c r="W82" s="172"/>
      <c r="X82" s="174"/>
      <c r="Y82" s="174"/>
      <c r="Z82" s="174"/>
      <c r="AA82" s="189"/>
    </row>
    <row r="83" spans="1:27" s="159" customFormat="1" ht="15.75" x14ac:dyDescent="0.3">
      <c r="A83" s="190"/>
      <c r="B83" s="191"/>
      <c r="C83" s="191"/>
      <c r="D83" s="191"/>
      <c r="E83" s="191"/>
      <c r="F83" s="191"/>
      <c r="G83" s="192" t="s">
        <v>583</v>
      </c>
      <c r="H83" s="207">
        <v>8.8000000000000007</v>
      </c>
      <c r="I83" s="193" t="s">
        <v>334</v>
      </c>
      <c r="J83" s="172"/>
      <c r="K83" s="172"/>
      <c r="L83" s="172"/>
      <c r="M83" s="172"/>
      <c r="N83" s="172"/>
      <c r="O83" s="172"/>
      <c r="P83" s="172"/>
      <c r="Q83" s="172"/>
      <c r="R83" s="172"/>
      <c r="S83" s="172"/>
      <c r="T83" s="172"/>
      <c r="U83" s="172"/>
      <c r="V83" s="172"/>
      <c r="W83" s="172"/>
      <c r="X83" s="174"/>
      <c r="Y83" s="174"/>
      <c r="Z83" s="174"/>
      <c r="AA83" s="189"/>
    </row>
    <row r="84" spans="1:27" s="159" customFormat="1" ht="15.75" x14ac:dyDescent="0.3">
      <c r="A84" s="196"/>
      <c r="B84" s="172"/>
      <c r="C84" s="172"/>
      <c r="D84" s="172"/>
      <c r="E84" s="172"/>
      <c r="F84" s="172"/>
      <c r="G84" s="176" t="s">
        <v>584</v>
      </c>
      <c r="H84" s="208">
        <v>10</v>
      </c>
      <c r="I84" s="195" t="s">
        <v>335</v>
      </c>
      <c r="J84" s="172"/>
      <c r="K84" s="172"/>
      <c r="L84" s="172"/>
      <c r="M84" s="172"/>
      <c r="N84" s="172"/>
      <c r="O84" s="172"/>
      <c r="P84" s="172"/>
      <c r="Q84" s="172"/>
      <c r="R84" s="172"/>
      <c r="S84" s="172"/>
      <c r="T84" s="172"/>
      <c r="U84" s="172"/>
      <c r="V84" s="172"/>
      <c r="W84" s="172"/>
      <c r="X84" s="174"/>
      <c r="Y84" s="174"/>
      <c r="Z84" s="174"/>
      <c r="AA84" s="189"/>
    </row>
    <row r="85" spans="1:27" s="159" customFormat="1" ht="15.75" x14ac:dyDescent="0.3">
      <c r="A85" s="196"/>
      <c r="B85" s="172"/>
      <c r="C85" s="172"/>
      <c r="D85" s="172"/>
      <c r="E85" s="172"/>
      <c r="F85" s="172"/>
      <c r="G85" s="176" t="s">
        <v>585</v>
      </c>
      <c r="H85" s="208">
        <v>2.4</v>
      </c>
      <c r="I85" s="195" t="s">
        <v>335</v>
      </c>
      <c r="J85" s="172"/>
      <c r="K85" s="172"/>
      <c r="L85" s="172"/>
      <c r="M85" s="172"/>
      <c r="N85" s="172"/>
      <c r="O85" s="172"/>
      <c r="P85" s="172"/>
      <c r="Q85" s="172"/>
      <c r="R85" s="172"/>
      <c r="S85" s="172"/>
      <c r="T85" s="172"/>
      <c r="U85" s="172"/>
      <c r="V85" s="172"/>
      <c r="W85" s="172"/>
      <c r="X85" s="174"/>
      <c r="Y85" s="174"/>
      <c r="Z85" s="174"/>
      <c r="AA85" s="189"/>
    </row>
    <row r="86" spans="1:27" s="159" customFormat="1" ht="15.75" x14ac:dyDescent="0.3">
      <c r="A86" s="196"/>
      <c r="B86" s="172"/>
      <c r="C86" s="172"/>
      <c r="D86" s="172"/>
      <c r="E86" s="172"/>
      <c r="F86" s="172"/>
      <c r="G86" s="176" t="s">
        <v>586</v>
      </c>
      <c r="H86" s="208">
        <v>4.5</v>
      </c>
      <c r="I86" s="195" t="s">
        <v>335</v>
      </c>
      <c r="J86" s="172"/>
      <c r="K86" s="172"/>
      <c r="L86" s="172"/>
      <c r="M86" s="172"/>
      <c r="N86" s="172"/>
      <c r="O86" s="172"/>
      <c r="P86" s="172"/>
      <c r="Q86" s="172"/>
      <c r="R86" s="172"/>
      <c r="S86" s="172"/>
      <c r="T86" s="172"/>
      <c r="U86" s="172"/>
      <c r="V86" s="172"/>
      <c r="W86" s="172"/>
      <c r="X86" s="174"/>
      <c r="Y86" s="174"/>
      <c r="Z86" s="174"/>
      <c r="AA86" s="189"/>
    </row>
    <row r="87" spans="1:27" s="159" customFormat="1" ht="15.75" x14ac:dyDescent="0.3">
      <c r="A87" s="196"/>
      <c r="B87" s="172"/>
      <c r="C87" s="172"/>
      <c r="D87" s="172"/>
      <c r="E87" s="172"/>
      <c r="F87" s="172"/>
      <c r="G87" s="176" t="s">
        <v>582</v>
      </c>
      <c r="H87" s="208">
        <v>0</v>
      </c>
      <c r="I87" s="195" t="s">
        <v>336</v>
      </c>
      <c r="J87" s="172"/>
      <c r="K87" s="172"/>
      <c r="L87" s="172"/>
      <c r="M87" s="172"/>
      <c r="N87" s="172"/>
      <c r="O87" s="172"/>
      <c r="P87" s="172"/>
      <c r="Q87" s="172"/>
      <c r="R87" s="172"/>
      <c r="S87" s="172"/>
      <c r="T87" s="172"/>
      <c r="U87" s="172"/>
      <c r="V87" s="172"/>
      <c r="W87" s="172"/>
      <c r="X87" s="174"/>
      <c r="Y87" s="174"/>
      <c r="Z87" s="174"/>
      <c r="AA87" s="189"/>
    </row>
    <row r="88" spans="1:27" s="159" customFormat="1" ht="15.75" x14ac:dyDescent="0.3">
      <c r="A88" s="196"/>
      <c r="B88" s="172"/>
      <c r="C88" s="172"/>
      <c r="D88" s="172"/>
      <c r="E88" s="172"/>
      <c r="F88" s="172"/>
      <c r="G88" s="176" t="s">
        <v>581</v>
      </c>
      <c r="H88" s="208">
        <v>1.7</v>
      </c>
      <c r="I88" s="195" t="s">
        <v>10</v>
      </c>
      <c r="J88" s="172"/>
      <c r="K88" s="172"/>
      <c r="L88" s="172"/>
      <c r="M88" s="172"/>
      <c r="N88" s="172"/>
      <c r="O88" s="172"/>
      <c r="P88" s="172"/>
      <c r="Q88" s="172"/>
      <c r="R88" s="172"/>
      <c r="S88" s="172"/>
      <c r="T88" s="172"/>
      <c r="U88" s="172"/>
      <c r="V88" s="172"/>
      <c r="W88" s="172"/>
      <c r="X88" s="174"/>
      <c r="Y88" s="174"/>
      <c r="Z88" s="174"/>
      <c r="AA88" s="189"/>
    </row>
    <row r="89" spans="1:27" s="159" customFormat="1" ht="18" x14ac:dyDescent="0.35">
      <c r="A89" s="196"/>
      <c r="B89" s="172"/>
      <c r="C89" s="172"/>
      <c r="D89" s="172"/>
      <c r="E89" s="172"/>
      <c r="F89" s="172"/>
      <c r="G89" s="173" t="s">
        <v>579</v>
      </c>
      <c r="H89" s="208">
        <v>33</v>
      </c>
      <c r="I89" s="201" t="s">
        <v>335</v>
      </c>
      <c r="J89" s="172"/>
      <c r="K89" s="172"/>
      <c r="L89" s="172"/>
      <c r="M89" s="172"/>
      <c r="N89" s="172"/>
      <c r="O89" s="172"/>
      <c r="P89" s="172"/>
      <c r="Q89" s="172"/>
      <c r="R89" s="172"/>
      <c r="S89" s="172"/>
      <c r="T89" s="172"/>
      <c r="U89" s="172"/>
      <c r="V89" s="172"/>
      <c r="W89" s="172"/>
      <c r="X89" s="174"/>
      <c r="Y89" s="174"/>
      <c r="Z89" s="174"/>
      <c r="AA89" s="189"/>
    </row>
    <row r="90" spans="1:27" s="159" customFormat="1" ht="18.75" thickBot="1" x14ac:dyDescent="0.4">
      <c r="A90" s="197"/>
      <c r="B90" s="198"/>
      <c r="C90" s="198"/>
      <c r="D90" s="198"/>
      <c r="E90" s="198"/>
      <c r="F90" s="198"/>
      <c r="G90" s="202" t="s">
        <v>580</v>
      </c>
      <c r="H90" s="209">
        <v>0.8</v>
      </c>
      <c r="I90" s="203" t="s">
        <v>10</v>
      </c>
      <c r="J90" s="172"/>
      <c r="K90" s="172"/>
      <c r="L90" s="172"/>
      <c r="M90" s="172"/>
      <c r="N90" s="172"/>
      <c r="O90" s="172"/>
      <c r="P90" s="172"/>
      <c r="Q90" s="172"/>
      <c r="R90" s="172"/>
      <c r="S90" s="172"/>
      <c r="T90" s="172"/>
      <c r="U90" s="172"/>
      <c r="V90" s="172"/>
      <c r="W90" s="172"/>
      <c r="X90" s="174"/>
      <c r="Y90" s="174"/>
      <c r="Z90" s="174"/>
      <c r="AA90" s="189"/>
    </row>
    <row r="91" spans="1:27" x14ac:dyDescent="0.25">
      <c r="A91" s="172"/>
      <c r="B91" s="172"/>
      <c r="C91" s="172"/>
      <c r="D91" s="172"/>
      <c r="E91" s="172"/>
      <c r="F91" s="172"/>
      <c r="G91" s="173"/>
      <c r="H91" s="172"/>
      <c r="I91" s="172"/>
      <c r="J91" s="172"/>
      <c r="K91" s="172"/>
      <c r="L91" s="172"/>
      <c r="M91" s="172"/>
      <c r="N91" s="172"/>
      <c r="O91" s="172"/>
      <c r="P91" s="172"/>
      <c r="Q91" s="172"/>
      <c r="R91" s="172"/>
      <c r="S91" s="172"/>
      <c r="T91" s="172"/>
      <c r="U91" s="172"/>
      <c r="V91" s="172"/>
      <c r="W91" s="172"/>
      <c r="X91" s="102"/>
      <c r="Y91" s="102"/>
      <c r="Z91" s="102"/>
      <c r="AA91" s="92"/>
    </row>
    <row r="92" spans="1:27" x14ac:dyDescent="0.25">
      <c r="A92" s="172"/>
      <c r="B92" s="172"/>
      <c r="C92" s="172"/>
      <c r="D92" s="172"/>
      <c r="E92" s="172"/>
      <c r="F92" s="172"/>
      <c r="G92" s="173"/>
      <c r="H92" s="172"/>
      <c r="I92" s="172"/>
      <c r="J92" s="172"/>
      <c r="K92" s="172"/>
      <c r="L92" s="172"/>
      <c r="M92" s="172"/>
      <c r="N92" s="172"/>
      <c r="O92" s="172"/>
      <c r="P92" s="172"/>
      <c r="Q92" s="172"/>
      <c r="R92" s="172"/>
      <c r="S92" s="172"/>
      <c r="T92" s="172"/>
      <c r="U92" s="172"/>
      <c r="V92" s="172"/>
      <c r="W92" s="172"/>
      <c r="X92" s="102"/>
      <c r="Y92" s="102"/>
      <c r="Z92" s="102"/>
      <c r="AA92" s="92"/>
    </row>
    <row r="93" spans="1:27" x14ac:dyDescent="0.25">
      <c r="A93" s="172"/>
      <c r="B93" s="172"/>
      <c r="C93" s="172"/>
      <c r="D93" s="172"/>
      <c r="E93" s="172"/>
      <c r="F93" s="172"/>
      <c r="G93" s="173"/>
      <c r="H93" s="172"/>
      <c r="I93" s="172"/>
      <c r="J93" s="172"/>
      <c r="K93" s="172"/>
      <c r="L93" s="172"/>
      <c r="M93" s="172"/>
      <c r="N93" s="172"/>
      <c r="O93" s="172"/>
      <c r="P93" s="172"/>
      <c r="Q93" s="172"/>
      <c r="R93" s="172"/>
      <c r="S93" s="172"/>
      <c r="T93" s="172"/>
      <c r="U93" s="172"/>
      <c r="V93" s="172"/>
      <c r="W93" s="172"/>
      <c r="X93" s="102"/>
      <c r="Y93" s="102"/>
      <c r="Z93" s="102"/>
      <c r="AA93" s="92"/>
    </row>
    <row r="94" spans="1:27" x14ac:dyDescent="0.25">
      <c r="A94" s="172"/>
      <c r="B94" s="172"/>
      <c r="C94" s="172"/>
      <c r="D94" s="172"/>
      <c r="E94" s="172"/>
      <c r="F94" s="172"/>
      <c r="G94" s="173"/>
      <c r="H94" s="172"/>
      <c r="I94" s="172"/>
      <c r="J94" s="172"/>
      <c r="K94" s="172"/>
      <c r="L94" s="172"/>
      <c r="M94" s="172"/>
      <c r="N94" s="172"/>
      <c r="O94" s="172"/>
      <c r="P94" s="172"/>
      <c r="Q94" s="172"/>
      <c r="R94" s="172"/>
      <c r="S94" s="172"/>
      <c r="T94" s="172"/>
      <c r="U94" s="172"/>
      <c r="V94" s="172"/>
      <c r="W94" s="172"/>
      <c r="X94" s="102"/>
      <c r="Y94" s="102"/>
      <c r="Z94" s="102"/>
      <c r="AA94" s="92"/>
    </row>
    <row r="95" spans="1:27" x14ac:dyDescent="0.25">
      <c r="A95" s="172"/>
      <c r="B95" s="172"/>
      <c r="C95" s="172"/>
      <c r="D95" s="172"/>
      <c r="E95" s="172"/>
      <c r="F95" s="172"/>
      <c r="G95" s="173"/>
      <c r="H95" s="172"/>
      <c r="I95" s="172"/>
      <c r="J95" s="172"/>
      <c r="K95" s="172"/>
      <c r="L95" s="172"/>
      <c r="M95" s="172"/>
      <c r="N95" s="172"/>
      <c r="O95" s="172"/>
      <c r="P95" s="172"/>
      <c r="Q95" s="172"/>
      <c r="R95" s="172"/>
      <c r="S95" s="172"/>
      <c r="T95" s="172"/>
      <c r="U95" s="172"/>
      <c r="V95" s="172"/>
      <c r="W95" s="172"/>
      <c r="X95" s="102"/>
      <c r="Y95" s="102"/>
      <c r="Z95" s="102"/>
      <c r="AA95" s="92"/>
    </row>
    <row r="96" spans="1:27" x14ac:dyDescent="0.25">
      <c r="A96" s="102"/>
      <c r="B96" s="102"/>
      <c r="C96" s="102"/>
      <c r="D96" s="102"/>
      <c r="E96" s="102"/>
      <c r="F96" s="102"/>
      <c r="G96" s="103"/>
      <c r="H96" s="102"/>
      <c r="I96" s="102"/>
      <c r="J96" s="102"/>
      <c r="K96" s="102"/>
      <c r="L96" s="102"/>
      <c r="M96" s="102"/>
      <c r="N96" s="102"/>
      <c r="O96" s="102"/>
      <c r="P96" s="102"/>
      <c r="Q96" s="102"/>
      <c r="R96" s="102"/>
      <c r="S96" s="102"/>
      <c r="T96" s="102"/>
      <c r="U96" s="102"/>
      <c r="V96" s="102"/>
      <c r="W96" s="102"/>
      <c r="X96" s="102"/>
      <c r="Y96" s="102"/>
      <c r="Z96" s="102"/>
      <c r="AA96" s="92"/>
    </row>
    <row r="97" spans="1:27" x14ac:dyDescent="0.25">
      <c r="A97" s="102"/>
      <c r="B97" s="102"/>
      <c r="C97" s="102"/>
      <c r="D97" s="102"/>
      <c r="E97" s="102"/>
      <c r="F97" s="102"/>
      <c r="G97" s="103"/>
      <c r="H97" s="102"/>
      <c r="I97" s="102"/>
      <c r="J97" s="102"/>
      <c r="K97" s="102"/>
      <c r="L97" s="102"/>
      <c r="M97" s="102"/>
      <c r="N97" s="102"/>
      <c r="O97" s="102"/>
      <c r="P97" s="102"/>
      <c r="Q97" s="102"/>
      <c r="R97" s="102"/>
      <c r="S97" s="102"/>
      <c r="T97" s="102"/>
      <c r="U97" s="102"/>
      <c r="V97" s="102"/>
      <c r="W97" s="102"/>
      <c r="X97" s="102"/>
      <c r="Y97" s="102"/>
      <c r="Z97" s="102"/>
      <c r="AA97" s="92"/>
    </row>
    <row r="98" spans="1:27" x14ac:dyDescent="0.25">
      <c r="A98" s="92"/>
      <c r="B98" s="92"/>
      <c r="C98" s="92"/>
      <c r="D98" s="92"/>
      <c r="E98" s="92"/>
      <c r="F98" s="92"/>
      <c r="G98" s="93"/>
      <c r="H98" s="92"/>
      <c r="I98" s="92"/>
      <c r="J98" s="92"/>
      <c r="K98" s="92"/>
      <c r="L98" s="92"/>
      <c r="M98" s="92"/>
      <c r="N98" s="92"/>
      <c r="O98" s="92"/>
      <c r="P98" s="92"/>
      <c r="Q98" s="92"/>
      <c r="R98" s="92"/>
      <c r="S98" s="92"/>
      <c r="T98" s="92"/>
      <c r="U98" s="92"/>
      <c r="V98" s="92"/>
      <c r="W98" s="92"/>
      <c r="X98" s="92"/>
      <c r="Y98" s="92"/>
      <c r="Z98" s="92"/>
      <c r="AA98" s="90"/>
    </row>
  </sheetData>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561975</xdr:colOff>
                    <xdr:row>53</xdr:row>
                    <xdr:rowOff>0</xdr:rowOff>
                  </from>
                  <to>
                    <xdr:col>8</xdr:col>
                    <xdr:colOff>9525</xdr:colOff>
                    <xdr:row>55</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Lists!$F$3:$F$5</xm:f>
          </x14:formula1>
          <xm:sqref>H12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8"/>
  <sheetViews>
    <sheetView zoomScaleNormal="100" workbookViewId="0">
      <pane ySplit="5" topLeftCell="A6" activePane="bottomLeft" state="frozen"/>
      <selection pane="bottomLeft" activeCell="C53" sqref="C53"/>
    </sheetView>
  </sheetViews>
  <sheetFormatPr defaultRowHeight="15" x14ac:dyDescent="0.25"/>
  <cols>
    <col min="1" max="1" width="28.85546875" customWidth="1"/>
    <col min="2" max="2" width="19.5703125" customWidth="1"/>
    <col min="3" max="3" width="10.85546875" customWidth="1"/>
    <col min="4" max="4" width="10" bestFit="1" customWidth="1"/>
    <col min="5" max="5" width="18.5703125" customWidth="1"/>
    <col min="6" max="6" width="14.85546875" customWidth="1"/>
    <col min="7" max="7" width="15.140625" customWidth="1"/>
    <col min="8" max="9" width="12.5703125" customWidth="1"/>
    <col min="12" max="12" width="12.42578125" bestFit="1" customWidth="1"/>
  </cols>
  <sheetData>
    <row r="1" spans="1:17" ht="27.75" x14ac:dyDescent="0.4">
      <c r="A1" s="213" t="s">
        <v>15</v>
      </c>
      <c r="B1" s="213"/>
      <c r="C1" s="213"/>
      <c r="D1" s="213"/>
      <c r="E1" s="213"/>
      <c r="F1" s="213"/>
      <c r="G1" s="213"/>
      <c r="H1" s="213"/>
      <c r="I1" s="213"/>
      <c r="J1" s="213"/>
    </row>
    <row r="2" spans="1:17" x14ac:dyDescent="0.25">
      <c r="A2" s="5"/>
      <c r="B2" s="5" t="s">
        <v>16</v>
      </c>
      <c r="C2" s="6"/>
      <c r="D2" s="4"/>
      <c r="E2" s="5"/>
      <c r="F2" s="5"/>
      <c r="G2" s="5"/>
      <c r="H2" s="5"/>
      <c r="I2" s="5"/>
      <c r="J2" s="5"/>
    </row>
    <row r="3" spans="1:17" x14ac:dyDescent="0.25">
      <c r="A3" s="5"/>
      <c r="B3" s="5" t="s">
        <v>17</v>
      </c>
      <c r="C3" s="7"/>
      <c r="D3" s="4"/>
      <c r="E3" s="5"/>
      <c r="F3" s="14" t="s">
        <v>60</v>
      </c>
      <c r="G3" s="15" t="s">
        <v>61</v>
      </c>
      <c r="H3" s="24" t="s">
        <v>533</v>
      </c>
      <c r="I3" s="5"/>
      <c r="J3" s="5"/>
    </row>
    <row r="4" spans="1:17" x14ac:dyDescent="0.25">
      <c r="A4" s="5"/>
      <c r="B4" s="5" t="s">
        <v>18</v>
      </c>
      <c r="C4" s="8"/>
      <c r="D4" s="4"/>
      <c r="E4" s="5"/>
      <c r="F4" s="5"/>
      <c r="G4" s="5"/>
      <c r="H4" s="5"/>
      <c r="I4" s="5"/>
      <c r="J4" s="5"/>
    </row>
    <row r="5" spans="1:17" x14ac:dyDescent="0.25">
      <c r="A5" s="9" t="s">
        <v>19</v>
      </c>
      <c r="B5" s="9" t="s">
        <v>20</v>
      </c>
      <c r="C5" s="9" t="s">
        <v>21</v>
      </c>
      <c r="D5" s="4"/>
      <c r="E5" s="214" t="s">
        <v>22</v>
      </c>
      <c r="F5" s="214"/>
      <c r="G5" s="214"/>
      <c r="H5" s="214"/>
      <c r="I5" s="5"/>
      <c r="J5" s="9" t="s">
        <v>23</v>
      </c>
      <c r="K5" s="9" t="s">
        <v>67</v>
      </c>
      <c r="L5" s="4"/>
      <c r="M5" s="4"/>
      <c r="N5" s="4"/>
      <c r="O5" s="4"/>
      <c r="P5" s="4"/>
      <c r="Q5" s="4"/>
    </row>
    <row r="6" spans="1:17" ht="15.75" x14ac:dyDescent="0.25">
      <c r="A6" s="10" t="s">
        <v>24</v>
      </c>
      <c r="B6" s="9"/>
      <c r="C6" s="9"/>
      <c r="D6" s="9"/>
      <c r="E6" s="5"/>
      <c r="F6" s="5"/>
      <c r="G6" s="5"/>
      <c r="H6" s="5"/>
      <c r="I6" s="5"/>
      <c r="J6" s="9"/>
      <c r="K6" s="4"/>
      <c r="L6" s="4"/>
      <c r="M6" s="4"/>
      <c r="N6" s="4"/>
      <c r="O6" s="4"/>
      <c r="P6" s="4"/>
      <c r="Q6" s="4"/>
    </row>
    <row r="7" spans="1:17" x14ac:dyDescent="0.25">
      <c r="A7" t="s">
        <v>25</v>
      </c>
      <c r="B7" s="3">
        <f>'Design Converter'!H7</f>
        <v>10</v>
      </c>
      <c r="C7" t="s">
        <v>10</v>
      </c>
      <c r="E7" t="s">
        <v>28</v>
      </c>
    </row>
    <row r="8" spans="1:17" x14ac:dyDescent="0.25">
      <c r="A8" t="s">
        <v>26</v>
      </c>
      <c r="B8" s="3">
        <f>'Design Converter'!H8</f>
        <v>12</v>
      </c>
      <c r="C8" t="s">
        <v>10</v>
      </c>
      <c r="E8" t="s">
        <v>29</v>
      </c>
      <c r="K8">
        <f>IF(VIN_min&lt;VIN_min,1,IF(VIN_nom&gt;VIN_max,1,0))</f>
        <v>0</v>
      </c>
    </row>
    <row r="9" spans="1:17" x14ac:dyDescent="0.25">
      <c r="A9" t="s">
        <v>27</v>
      </c>
      <c r="B9" s="3">
        <f>'Design Converter'!H9</f>
        <v>18</v>
      </c>
      <c r="C9" t="s">
        <v>10</v>
      </c>
      <c r="E9" t="s">
        <v>30</v>
      </c>
    </row>
    <row r="10" spans="1:17" x14ac:dyDescent="0.25">
      <c r="A10" t="s">
        <v>64</v>
      </c>
      <c r="B10" s="3">
        <f>'Design Converter'!H13*1000</f>
        <v>2000000</v>
      </c>
      <c r="C10" t="s">
        <v>65</v>
      </c>
      <c r="E10" t="s">
        <v>66</v>
      </c>
    </row>
    <row r="11" spans="1:17" x14ac:dyDescent="0.25">
      <c r="A11" t="s">
        <v>68</v>
      </c>
      <c r="B11" s="18">
        <f>((2.21*10^10)/Fsw)-955</f>
        <v>10095</v>
      </c>
      <c r="C11" s="2" t="s">
        <v>36</v>
      </c>
      <c r="E11" t="s">
        <v>69</v>
      </c>
    </row>
    <row r="12" spans="1:17" x14ac:dyDescent="0.25">
      <c r="A12" t="s">
        <v>31</v>
      </c>
      <c r="B12" s="3">
        <f>'Design Converter'!H10</f>
        <v>21</v>
      </c>
      <c r="C12" t="s">
        <v>10</v>
      </c>
      <c r="E12" t="s">
        <v>32</v>
      </c>
    </row>
    <row r="13" spans="1:17" x14ac:dyDescent="0.25">
      <c r="A13" t="s">
        <v>33</v>
      </c>
      <c r="B13" s="3">
        <f>'Design Converter'!H11</f>
        <v>15</v>
      </c>
      <c r="C13" t="s">
        <v>11</v>
      </c>
      <c r="E13" t="s">
        <v>34</v>
      </c>
    </row>
    <row r="14" spans="1:17" x14ac:dyDescent="0.25">
      <c r="A14" t="s">
        <v>35</v>
      </c>
      <c r="B14" s="17">
        <f>VOUT/IOUT</f>
        <v>1.4</v>
      </c>
      <c r="C14" s="2" t="s">
        <v>36</v>
      </c>
      <c r="E14" t="s">
        <v>41</v>
      </c>
    </row>
    <row r="15" spans="1:17" x14ac:dyDescent="0.25">
      <c r="A15" t="s">
        <v>37</v>
      </c>
      <c r="B15" s="1">
        <f>VOUT*IOUT</f>
        <v>315</v>
      </c>
      <c r="C15" s="2" t="s">
        <v>38</v>
      </c>
      <c r="E15" t="s">
        <v>40</v>
      </c>
    </row>
    <row r="16" spans="1:17" x14ac:dyDescent="0.25">
      <c r="A16" t="s">
        <v>39</v>
      </c>
      <c r="B16" s="11">
        <v>1</v>
      </c>
      <c r="E16" t="s">
        <v>525</v>
      </c>
    </row>
    <row r="17" spans="1:11" x14ac:dyDescent="0.25">
      <c r="A17" t="s">
        <v>531</v>
      </c>
      <c r="B17" s="12">
        <v>1</v>
      </c>
      <c r="E17" t="s">
        <v>532</v>
      </c>
    </row>
    <row r="19" spans="1:11" x14ac:dyDescent="0.25">
      <c r="A19" t="s">
        <v>518</v>
      </c>
      <c r="B19">
        <f>IF(VOUT&lt;=15,1,2)</f>
        <v>2</v>
      </c>
      <c r="E19" t="s">
        <v>520</v>
      </c>
    </row>
    <row r="20" spans="1:11" x14ac:dyDescent="0.25">
      <c r="A20" t="s">
        <v>522</v>
      </c>
      <c r="B20">
        <f>IF('Design Converter'!H12="FPWM",3,IF('Design Converter'!H12="DEM",2,1))</f>
        <v>2</v>
      </c>
      <c r="E20" t="s">
        <v>523</v>
      </c>
    </row>
    <row r="22" spans="1:11" x14ac:dyDescent="0.25">
      <c r="A22" t="s">
        <v>42</v>
      </c>
      <c r="B22" s="1">
        <f>1-VIN_min*EFF_est/VOUT</f>
        <v>0.52380952380952384</v>
      </c>
      <c r="E22" t="s">
        <v>420</v>
      </c>
    </row>
    <row r="23" spans="1:11" x14ac:dyDescent="0.25">
      <c r="A23" t="s">
        <v>43</v>
      </c>
      <c r="B23" s="12">
        <f>Constants!B20-0.02</f>
        <v>0.79818181818181821</v>
      </c>
      <c r="E23" t="s">
        <v>528</v>
      </c>
    </row>
    <row r="24" spans="1:11" x14ac:dyDescent="0.25">
      <c r="B24" s="160"/>
    </row>
    <row r="25" spans="1:11" x14ac:dyDescent="0.25">
      <c r="A25" t="s">
        <v>424</v>
      </c>
      <c r="B25" s="150">
        <f>IF(B22&gt;Dc_max_IC,1,2)</f>
        <v>2</v>
      </c>
      <c r="E25" t="s">
        <v>526</v>
      </c>
      <c r="K25">
        <f>IF(B25=1,1,0)</f>
        <v>0</v>
      </c>
    </row>
    <row r="26" spans="1:11" x14ac:dyDescent="0.25">
      <c r="E26" t="s">
        <v>527</v>
      </c>
    </row>
    <row r="28" spans="1:11" x14ac:dyDescent="0.25">
      <c r="A28" s="19" t="s">
        <v>72</v>
      </c>
      <c r="E28" t="b">
        <f>AND((1-(VIN_max/VOUT))&lt;Dc_rip_max,(1-(VIN_min/VOUT))&lt;Dc_rip_max)</f>
        <v>0</v>
      </c>
    </row>
    <row r="29" spans="1:11" x14ac:dyDescent="0.25">
      <c r="A29" s="151" t="s">
        <v>426</v>
      </c>
    </row>
    <row r="30" spans="1:11" x14ac:dyDescent="0.25">
      <c r="A30" t="s">
        <v>88</v>
      </c>
      <c r="B30" s="3">
        <f>'Design Converter'!H21/100</f>
        <v>0.1</v>
      </c>
      <c r="E30" t="s">
        <v>107</v>
      </c>
    </row>
    <row r="31" spans="1:11" x14ac:dyDescent="0.25">
      <c r="A31" t="s">
        <v>118</v>
      </c>
      <c r="B31" s="12">
        <v>0.33</v>
      </c>
      <c r="C31" t="s">
        <v>13</v>
      </c>
      <c r="E31" t="s">
        <v>117</v>
      </c>
    </row>
    <row r="32" spans="1:11" x14ac:dyDescent="0.25">
      <c r="A32" t="s">
        <v>425</v>
      </c>
      <c r="B32" s="16">
        <f>IF(AND((1-(VIN_max/VOUT))&lt;Dc_rip_max,(1-(VIN_min/VOUT))&gt;=Dc_rip_max),Dc_rip_max,IF((1-(VIN_max/VOUT))&gt;Dc_rip_max,(1-(VIN_max/VOUT)),IF((1-(VIN_min/VOUT))&lt;Dc_rip_max,(1-(VIN_min/VOUT)),0.33)))</f>
        <v>0.33</v>
      </c>
    </row>
    <row r="33" spans="1:5" x14ac:dyDescent="0.25">
      <c r="A33" t="s">
        <v>94</v>
      </c>
      <c r="B33" s="1">
        <f>VOUT*(1-DC_rip)</f>
        <v>14.069999999999999</v>
      </c>
      <c r="C33" t="s">
        <v>10</v>
      </c>
      <c r="E33" t="s">
        <v>120</v>
      </c>
    </row>
    <row r="35" spans="1:5" x14ac:dyDescent="0.25">
      <c r="A35" t="s">
        <v>95</v>
      </c>
      <c r="B35" s="16">
        <f>(VOUT*IOUT)/(VIN_33)</f>
        <v>22.388059701492541</v>
      </c>
      <c r="C35" t="s">
        <v>11</v>
      </c>
      <c r="E35" t="s">
        <v>119</v>
      </c>
    </row>
    <row r="36" spans="1:5" x14ac:dyDescent="0.25">
      <c r="A36" t="s">
        <v>96</v>
      </c>
      <c r="B36" s="23">
        <f>(VIN_33*DC_rip)/(IIN_33*ILrip*Fsw)</f>
        <v>1.0369589999999997E-6</v>
      </c>
      <c r="C36" t="s">
        <v>87</v>
      </c>
      <c r="E36" t="s">
        <v>440</v>
      </c>
    </row>
    <row r="38" spans="1:5" x14ac:dyDescent="0.25">
      <c r="A38" s="151" t="s">
        <v>529</v>
      </c>
    </row>
    <row r="39" spans="1:5" x14ac:dyDescent="0.25">
      <c r="A39" t="s">
        <v>429</v>
      </c>
      <c r="B39" s="3">
        <f>'Design Converter'!H21/100</f>
        <v>0.1</v>
      </c>
      <c r="E39" t="s">
        <v>430</v>
      </c>
    </row>
    <row r="40" spans="1:5" x14ac:dyDescent="0.25">
      <c r="A40" t="s">
        <v>428</v>
      </c>
      <c r="B40" s="23">
        <f>((DC_DCM_max^2)*(VIN_min^2))/(2*IOUT*VOUT*Fsw-2*IOUT*VIN_min*Fsw)</f>
        <v>1.5151515151515154E-9</v>
      </c>
      <c r="C40" t="s">
        <v>87</v>
      </c>
      <c r="E40" t="s">
        <v>427</v>
      </c>
    </row>
    <row r="41" spans="1:5" x14ac:dyDescent="0.25">
      <c r="A41" t="s">
        <v>431</v>
      </c>
      <c r="B41" s="12">
        <v>0.2</v>
      </c>
      <c r="E41" t="s">
        <v>432</v>
      </c>
    </row>
    <row r="42" spans="1:5" x14ac:dyDescent="0.25">
      <c r="A42" t="s">
        <v>433</v>
      </c>
      <c r="B42" s="23">
        <f>(1-M_L_DCM)*((VIN_min^2)*(1-(VIN_min/VOUT)))/(2*IOUT*VOUT*Fsw)</f>
        <v>3.3257747543461833E-8</v>
      </c>
      <c r="C42" t="s">
        <v>87</v>
      </c>
      <c r="E42" t="s">
        <v>434</v>
      </c>
    </row>
    <row r="43" spans="1:5" x14ac:dyDescent="0.25">
      <c r="A43" t="s">
        <v>435</v>
      </c>
      <c r="B43" s="23">
        <f>MIN(B40,B42)</f>
        <v>1.5151515151515154E-9</v>
      </c>
      <c r="C43" t="s">
        <v>87</v>
      </c>
      <c r="E43" t="s">
        <v>436</v>
      </c>
    </row>
    <row r="44" spans="1:5" x14ac:dyDescent="0.25">
      <c r="B44" s="154"/>
    </row>
    <row r="45" spans="1:5" x14ac:dyDescent="0.25">
      <c r="A45" t="s">
        <v>439</v>
      </c>
      <c r="B45" s="23">
        <f>IF(B25=1,B43,Lopt_2)</f>
        <v>1.0369589999999997E-6</v>
      </c>
      <c r="E45" t="s">
        <v>437</v>
      </c>
    </row>
    <row r="47" spans="1:5" x14ac:dyDescent="0.25">
      <c r="A47" t="s">
        <v>89</v>
      </c>
      <c r="B47" s="21">
        <f>CHOOSE(B25,'Design Converter'!H23*10^-9,'Design Converter'!H23*10^-6)</f>
        <v>9.9999999999999995E-7</v>
      </c>
      <c r="C47" t="s">
        <v>87</v>
      </c>
      <c r="E47" t="s">
        <v>90</v>
      </c>
    </row>
    <row r="48" spans="1:5" x14ac:dyDescent="0.25">
      <c r="A48" t="s">
        <v>91</v>
      </c>
      <c r="B48" s="3">
        <f>'Design Converter'!H24*10^-3</f>
        <v>1.3799999999999999E-3</v>
      </c>
      <c r="C48" s="2" t="s">
        <v>36</v>
      </c>
      <c r="E48" t="s">
        <v>121</v>
      </c>
    </row>
    <row r="49" spans="1:9" x14ac:dyDescent="0.25">
      <c r="A49" t="s">
        <v>122</v>
      </c>
      <c r="B49" s="12">
        <v>0.2</v>
      </c>
      <c r="C49" s="2"/>
      <c r="E49" t="s">
        <v>123</v>
      </c>
    </row>
    <row r="50" spans="1:9" x14ac:dyDescent="0.25">
      <c r="B50" t="s">
        <v>97</v>
      </c>
    </row>
    <row r="51" spans="1:9" x14ac:dyDescent="0.25">
      <c r="A51" s="31" t="s">
        <v>441</v>
      </c>
    </row>
    <row r="53" spans="1:9" x14ac:dyDescent="0.25">
      <c r="A53" s="22" t="s">
        <v>442</v>
      </c>
    </row>
    <row r="54" spans="1:9" x14ac:dyDescent="0.25">
      <c r="A54" t="s">
        <v>443</v>
      </c>
      <c r="B54">
        <f>IF(B20=3,1,IF((VOUT*IOUT)/(VIN_min*Np)&lt;((VIN_min*(1-(VIN_min/VOUT)))/(2*Lm*Fsw)),0,1))</f>
        <v>1</v>
      </c>
      <c r="E54" t="s">
        <v>534</v>
      </c>
      <c r="I54" s="31"/>
    </row>
    <row r="55" spans="1:9" x14ac:dyDescent="0.25">
      <c r="A55" t="s">
        <v>77</v>
      </c>
      <c r="B55" s="1">
        <f>IF(B54=0,SQRT((2*(IOUT/Np)*Lm*Fsw*(VOUT-VIN_min)/(VIN_min^2))),(1-VIN_min/VOUT))</f>
        <v>0.52380952380952384</v>
      </c>
      <c r="E55" t="s">
        <v>421</v>
      </c>
    </row>
    <row r="56" spans="1:9" x14ac:dyDescent="0.25">
      <c r="B56" s="13">
        <f>B55/Fsw</f>
        <v>2.6190476190476194E-7</v>
      </c>
      <c r="C56" t="s">
        <v>51</v>
      </c>
      <c r="E56" t="s">
        <v>276</v>
      </c>
    </row>
    <row r="57" spans="1:9" x14ac:dyDescent="0.25">
      <c r="A57" t="s">
        <v>82</v>
      </c>
      <c r="B57" s="17">
        <f>(VOUT*IOUT)/(VIN_min)</f>
        <v>31.5</v>
      </c>
      <c r="C57" t="s">
        <v>11</v>
      </c>
      <c r="E57" t="s">
        <v>84</v>
      </c>
    </row>
    <row r="58" spans="1:9" x14ac:dyDescent="0.25">
      <c r="A58" t="s">
        <v>100</v>
      </c>
      <c r="B58" s="16">
        <f>(VIN_min*Dc_VIN_min)/(Lm*Fsw)</f>
        <v>2.6190476190476191</v>
      </c>
      <c r="C58" t="s">
        <v>11</v>
      </c>
      <c r="E58" t="s">
        <v>101</v>
      </c>
    </row>
    <row r="59" spans="1:9" x14ac:dyDescent="0.25">
      <c r="A59" t="s">
        <v>98</v>
      </c>
      <c r="B59" s="16">
        <f>IF(B54=0,(VIN_min*Dc_VIN_min)/(Lm*Fsw),(IL_avg_VIN_min/EFF_est)+(ILrip_VINmin/2))</f>
        <v>32.80952380952381</v>
      </c>
      <c r="C59" t="s">
        <v>11</v>
      </c>
      <c r="E59" t="s">
        <v>99</v>
      </c>
    </row>
    <row r="61" spans="1:9" x14ac:dyDescent="0.25">
      <c r="A61" s="22" t="s">
        <v>29</v>
      </c>
    </row>
    <row r="62" spans="1:9" x14ac:dyDescent="0.25">
      <c r="A62" t="s">
        <v>444</v>
      </c>
      <c r="B62">
        <f>IF(B20=3,1,IF((VOUT*IOUT)/(VIN_nom*Np)&lt;((VIN_nom*(1-(VIN_nom/VOUT)))/(2*Lm*Fsw)),0,1))</f>
        <v>1</v>
      </c>
      <c r="E62" t="s">
        <v>530</v>
      </c>
    </row>
    <row r="63" spans="1:9" x14ac:dyDescent="0.25">
      <c r="A63" t="s">
        <v>78</v>
      </c>
      <c r="B63" s="1">
        <f>IF(B62=0,SQRT((2*(IOUT/Np)*Lm*Fsw*(VOUT-VIN_nom)/(VIN_nom^2))),(1-VIN_nom/VOUT))</f>
        <v>0.4285714285714286</v>
      </c>
      <c r="E63" t="s">
        <v>422</v>
      </c>
    </row>
    <row r="64" spans="1:9" x14ac:dyDescent="0.25">
      <c r="B64" s="13">
        <f>B63/Fsw</f>
        <v>2.1428571428571431E-7</v>
      </c>
      <c r="C64" t="s">
        <v>51</v>
      </c>
      <c r="E64" t="s">
        <v>276</v>
      </c>
    </row>
    <row r="65" spans="1:5" x14ac:dyDescent="0.25">
      <c r="A65" t="s">
        <v>83</v>
      </c>
      <c r="B65" s="17">
        <f>(VOUT*IOUT)/(VIN_nom)</f>
        <v>26.25</v>
      </c>
      <c r="C65" t="s">
        <v>11</v>
      </c>
      <c r="E65" t="s">
        <v>85</v>
      </c>
    </row>
    <row r="66" spans="1:5" x14ac:dyDescent="0.25">
      <c r="A66" t="s">
        <v>102</v>
      </c>
      <c r="B66" s="16">
        <f>(VIN_nom*Dc_VIN_nom)/(Lm*Fsw)</f>
        <v>2.5714285714285716</v>
      </c>
      <c r="C66" t="s">
        <v>11</v>
      </c>
      <c r="E66" t="s">
        <v>108</v>
      </c>
    </row>
    <row r="67" spans="1:5" x14ac:dyDescent="0.25">
      <c r="A67" t="s">
        <v>103</v>
      </c>
      <c r="B67" s="16">
        <f>IF(B62=0,(VIN_nom*Dc_VIN_nom)/(Lm*Fsw),(IL_avg_VIN_nom/EFF_est)+(ILrip_VINnom/2))</f>
        <v>27.535714285714285</v>
      </c>
      <c r="C67" t="s">
        <v>11</v>
      </c>
      <c r="E67" t="s">
        <v>109</v>
      </c>
    </row>
    <row r="69" spans="1:5" x14ac:dyDescent="0.25">
      <c r="A69" s="22" t="s">
        <v>30</v>
      </c>
    </row>
    <row r="70" spans="1:5" x14ac:dyDescent="0.25">
      <c r="A70" t="s">
        <v>445</v>
      </c>
      <c r="B70">
        <f>IF(B20=3,1,IF((VOUT*IOUT)/(VIN_max*Np)&lt;((VIN_max*(1-(VIN_max/VOUT)))/(2*Lm*Fsw)),0,1))</f>
        <v>1</v>
      </c>
      <c r="E70" t="s">
        <v>530</v>
      </c>
    </row>
    <row r="71" spans="1:5" x14ac:dyDescent="0.25">
      <c r="A71" t="s">
        <v>79</v>
      </c>
      <c r="B71" s="1">
        <f>IF(B70=0,SQRT((2*(IOUT/Np)*Lm*Fsw*(VOUT-VIN_max)/(VIN_max^2))),(1-VIN_max/VOUT))</f>
        <v>0.1428571428571429</v>
      </c>
      <c r="E71" t="s">
        <v>423</v>
      </c>
    </row>
    <row r="72" spans="1:5" x14ac:dyDescent="0.25">
      <c r="B72" s="13">
        <f>B71/Fsw</f>
        <v>7.142857142857145E-8</v>
      </c>
      <c r="C72" t="s">
        <v>51</v>
      </c>
      <c r="E72" t="s">
        <v>276</v>
      </c>
    </row>
    <row r="73" spans="1:5" x14ac:dyDescent="0.25">
      <c r="A73" t="s">
        <v>446</v>
      </c>
      <c r="B73" s="17">
        <f>(VOUT*IOUT)/(VIN_max)</f>
        <v>17.5</v>
      </c>
      <c r="C73" t="s">
        <v>11</v>
      </c>
      <c r="E73" t="s">
        <v>86</v>
      </c>
    </row>
    <row r="74" spans="1:5" x14ac:dyDescent="0.25">
      <c r="A74" t="s">
        <v>104</v>
      </c>
      <c r="B74" s="16">
        <f>(VIN_max*Dc_VIN_max)/(Lm*Fsw)</f>
        <v>1.285714285714286</v>
      </c>
      <c r="C74" t="s">
        <v>11</v>
      </c>
      <c r="E74" t="s">
        <v>110</v>
      </c>
    </row>
    <row r="75" spans="1:5" x14ac:dyDescent="0.25">
      <c r="A75" t="s">
        <v>105</v>
      </c>
      <c r="B75" s="16">
        <f>IF(B70=0,(VIN_max*Dc_VIN_max)/(Lm*Fsw),(IL_avg_VIN_max/EFF_est)+(ILrip_VINmax/2))</f>
        <v>18.142857142857142</v>
      </c>
      <c r="C75" t="s">
        <v>11</v>
      </c>
      <c r="E75" t="s">
        <v>111</v>
      </c>
    </row>
    <row r="77" spans="1:5" x14ac:dyDescent="0.25">
      <c r="A77" s="19" t="s">
        <v>106</v>
      </c>
    </row>
    <row r="78" spans="1:5" x14ac:dyDescent="0.25">
      <c r="A78" t="s">
        <v>113</v>
      </c>
      <c r="B78" s="3">
        <f>'Design Converter'!H28/100</f>
        <v>0.1</v>
      </c>
      <c r="E78" t="s">
        <v>114</v>
      </c>
    </row>
    <row r="79" spans="1:5" x14ac:dyDescent="0.25">
      <c r="A79" t="s">
        <v>601</v>
      </c>
      <c r="B79" s="12">
        <v>0.95</v>
      </c>
      <c r="E79" t="s">
        <v>602</v>
      </c>
    </row>
    <row r="80" spans="1:5" x14ac:dyDescent="0.25">
      <c r="A80" t="s">
        <v>115</v>
      </c>
      <c r="B80" s="17">
        <f>IF(B54=0,(1+Ipk_margin)*ILp_VINmin,((IL_avg_VIN_min/B79)+(ILrip_VINmin/2))*(1+Ipk_margin))</f>
        <v>37.914160401002512</v>
      </c>
      <c r="C80" t="s">
        <v>11</v>
      </c>
      <c r="E80" t="s">
        <v>116</v>
      </c>
    </row>
    <row r="81" spans="1:11" x14ac:dyDescent="0.25">
      <c r="B81" s="34"/>
    </row>
    <row r="82" spans="1:11" x14ac:dyDescent="0.25">
      <c r="A82" t="s">
        <v>126</v>
      </c>
      <c r="B82" s="12">
        <v>0.66600000000000004</v>
      </c>
      <c r="E82" t="s">
        <v>535</v>
      </c>
    </row>
    <row r="83" spans="1:11" x14ac:dyDescent="0.25">
      <c r="A83" t="s">
        <v>124</v>
      </c>
      <c r="B83" s="23">
        <f>IF(OR(Dc_VIN_min&lt;0.5,B54=0),1000,(Lm*Vsl*Fsw)/(B82*(VOUT-VIN_min)))</f>
        <v>1.2285012285012284E-2</v>
      </c>
      <c r="C83" s="2" t="s">
        <v>36</v>
      </c>
      <c r="E83" t="s">
        <v>125</v>
      </c>
    </row>
    <row r="84" spans="1:11" x14ac:dyDescent="0.25">
      <c r="A84" t="s">
        <v>131</v>
      </c>
      <c r="B84" s="23">
        <f>Vcl/Ipk_selected</f>
        <v>1.5825221860488172E-3</v>
      </c>
      <c r="C84" s="2" t="s">
        <v>36</v>
      </c>
      <c r="E84" t="s">
        <v>492</v>
      </c>
    </row>
    <row r="86" spans="1:11" x14ac:dyDescent="0.25">
      <c r="A86" t="s">
        <v>134</v>
      </c>
      <c r="B86" s="1">
        <f>IF(Rcs_wo_sl&gt;Rcs_max,1,0)</f>
        <v>0</v>
      </c>
      <c r="E86" t="s">
        <v>448</v>
      </c>
    </row>
    <row r="87" spans="1:11" x14ac:dyDescent="0.25">
      <c r="A87" t="s">
        <v>135</v>
      </c>
      <c r="B87" s="25">
        <f>IF(B54=0,Rcs_wo_sl,IF(B86=0,Rcs_wo_sl,Rcs_w_sl))</f>
        <v>1.5825221860488172E-3</v>
      </c>
      <c r="C87" s="2" t="s">
        <v>36</v>
      </c>
      <c r="E87" t="s">
        <v>447</v>
      </c>
    </row>
    <row r="88" spans="1:11" x14ac:dyDescent="0.25">
      <c r="A88" t="s">
        <v>136</v>
      </c>
      <c r="B88" s="1">
        <v>0</v>
      </c>
      <c r="C88" s="2" t="s">
        <v>36</v>
      </c>
      <c r="E88" t="s">
        <v>536</v>
      </c>
    </row>
    <row r="90" spans="1:11" x14ac:dyDescent="0.25">
      <c r="A90" t="s">
        <v>137</v>
      </c>
      <c r="B90" s="26">
        <f>'Design Converter'!H31/1000</f>
        <v>1.5E-3</v>
      </c>
      <c r="C90" s="2" t="s">
        <v>36</v>
      </c>
      <c r="E90" t="s">
        <v>139</v>
      </c>
    </row>
    <row r="91" spans="1:11" x14ac:dyDescent="0.25">
      <c r="A91" t="s">
        <v>138</v>
      </c>
      <c r="B91" s="3">
        <v>0</v>
      </c>
      <c r="C91" s="2" t="s">
        <v>36</v>
      </c>
      <c r="E91" t="s">
        <v>537</v>
      </c>
    </row>
    <row r="93" spans="1:11" x14ac:dyDescent="0.25">
      <c r="A93" t="s">
        <v>142</v>
      </c>
      <c r="B93">
        <f>(Vsl*Fsw)/(((VOUT-VIN_min)/Lm)*R_cs)</f>
        <v>5.4545454545454541</v>
      </c>
      <c r="C93" t="s">
        <v>150</v>
      </c>
      <c r="E93" t="s">
        <v>140</v>
      </c>
      <c r="K93">
        <f>IF(B62=0,0,IF(B93&lt;0.5,1,0))</f>
        <v>0</v>
      </c>
    </row>
    <row r="94" spans="1:11" x14ac:dyDescent="0.25">
      <c r="A94" t="s">
        <v>144</v>
      </c>
      <c r="B94" s="17">
        <f>(Vcl-(Isl*R_sl*Dc_VIN_min))/R_cs</f>
        <v>40</v>
      </c>
      <c r="C94" t="s">
        <v>11</v>
      </c>
      <c r="E94" t="s">
        <v>146</v>
      </c>
      <c r="K94">
        <f>IF(IL_pk&lt;Ipk_selected,1,0)</f>
        <v>0</v>
      </c>
    </row>
    <row r="95" spans="1:11" x14ac:dyDescent="0.25">
      <c r="A95" t="s">
        <v>145</v>
      </c>
      <c r="B95" s="17">
        <f>(Vcl-(Isl*R_sl*Dc_VIN_max))/R_cs</f>
        <v>40</v>
      </c>
      <c r="C95" t="s">
        <v>11</v>
      </c>
      <c r="E95" t="s">
        <v>147</v>
      </c>
    </row>
    <row r="96" spans="1:11" x14ac:dyDescent="0.25">
      <c r="A96" t="s">
        <v>148</v>
      </c>
      <c r="B96" s="12">
        <f>0.15</f>
        <v>0.15</v>
      </c>
      <c r="E96" t="s">
        <v>149</v>
      </c>
    </row>
    <row r="97" spans="1:5" x14ac:dyDescent="0.25">
      <c r="A97" t="s">
        <v>151</v>
      </c>
      <c r="B97" s="20">
        <f>(1+B96)*B95</f>
        <v>46</v>
      </c>
      <c r="C97" t="s">
        <v>11</v>
      </c>
      <c r="E97" t="s">
        <v>152</v>
      </c>
    </row>
    <row r="99" spans="1:5" x14ac:dyDescent="0.25">
      <c r="A99" s="22" t="s">
        <v>153</v>
      </c>
      <c r="E99" t="s">
        <v>538</v>
      </c>
    </row>
    <row r="102" spans="1:5" x14ac:dyDescent="0.25">
      <c r="A102" s="28" t="s">
        <v>154</v>
      </c>
      <c r="E102" t="s">
        <v>549</v>
      </c>
    </row>
    <row r="104" spans="1:5" x14ac:dyDescent="0.25">
      <c r="A104" t="s">
        <v>449</v>
      </c>
      <c r="B104" s="1">
        <f>IF(B54=0,2*Fsw/(Dc_VIN_min*5),(VOUT/IOUT)*((VIN_min^2)/VOUT^2)/(Lm*5))</f>
        <v>63492.063492063491</v>
      </c>
      <c r="C104" t="s">
        <v>489</v>
      </c>
      <c r="E104" t="s">
        <v>540</v>
      </c>
    </row>
    <row r="105" spans="1:5" x14ac:dyDescent="0.25">
      <c r="B105">
        <f>B104/(2*PI())</f>
        <v>10105.07575186637</v>
      </c>
      <c r="C105" t="s">
        <v>65</v>
      </c>
    </row>
    <row r="106" spans="1:5" x14ac:dyDescent="0.25">
      <c r="A106" t="s">
        <v>160</v>
      </c>
      <c r="B106" s="29">
        <f>'Design Converter'!H35/1000</f>
        <v>0.24</v>
      </c>
      <c r="C106" t="s">
        <v>10</v>
      </c>
      <c r="E106" t="s">
        <v>159</v>
      </c>
    </row>
    <row r="107" spans="1:5" x14ac:dyDescent="0.25">
      <c r="A107" t="s">
        <v>450</v>
      </c>
      <c r="B107" s="1">
        <f>IOUT-0.5*IOUT</f>
        <v>7.5</v>
      </c>
      <c r="C107" t="s">
        <v>11</v>
      </c>
    </row>
    <row r="108" spans="1:5" x14ac:dyDescent="0.25">
      <c r="A108" t="s">
        <v>161</v>
      </c>
      <c r="B108" s="1">
        <f>B107/(Vout_rip_sel*B104)</f>
        <v>4.921875E-4</v>
      </c>
      <c r="C108" t="s">
        <v>162</v>
      </c>
      <c r="E108" t="s">
        <v>163</v>
      </c>
    </row>
    <row r="109" spans="1:5" x14ac:dyDescent="0.25">
      <c r="A109" t="s">
        <v>164</v>
      </c>
      <c r="B109" s="165">
        <f>SQRT((1-Dc_VIN_min)*((IOUT^2)*(Dc_VIN_min/((1-Dc_VIN_min)^2))+((ILrip_VINmin^2)/3)))</f>
        <v>15.766698934985802</v>
      </c>
      <c r="C109" t="s">
        <v>11</v>
      </c>
      <c r="E109" s="31" t="s">
        <v>541</v>
      </c>
    </row>
    <row r="110" spans="1:5" x14ac:dyDescent="0.25">
      <c r="A110" t="s">
        <v>169</v>
      </c>
      <c r="B110" s="3">
        <f>'Design Converter'!H37*(10^-6)</f>
        <v>4.6999999999999999E-4</v>
      </c>
      <c r="C110" t="s">
        <v>162</v>
      </c>
      <c r="E110" t="s">
        <v>167</v>
      </c>
    </row>
    <row r="111" spans="1:5" x14ac:dyDescent="0.25">
      <c r="A111" t="s">
        <v>166</v>
      </c>
      <c r="B111" s="3">
        <f>'Design Converter'!H38/1000</f>
        <v>8.0000000000000002E-3</v>
      </c>
      <c r="C111" s="2" t="s">
        <v>36</v>
      </c>
      <c r="E111" t="s">
        <v>168</v>
      </c>
    </row>
    <row r="112" spans="1:5" x14ac:dyDescent="0.25">
      <c r="A112" t="s">
        <v>274</v>
      </c>
      <c r="B112" s="166">
        <f>SQRT((IOUT^2)+(IL_avg_VIN_min^2)-(2*IOUT*IL_avg_VIN_min)-(2*Dc_VIN_min*(IOUT^2))-(Dc_VIN_min*(IL_avg_VIN_min^2))+(2*Dc_VIN_min*IOUT*IL_avg_VIN_min))</f>
        <v>3.4330328116279829</v>
      </c>
      <c r="E112" s="164" t="s">
        <v>275</v>
      </c>
    </row>
    <row r="113" spans="1:7" x14ac:dyDescent="0.25">
      <c r="E113" s="72"/>
    </row>
    <row r="115" spans="1:7" x14ac:dyDescent="0.25">
      <c r="A115" s="28" t="s">
        <v>292</v>
      </c>
    </row>
    <row r="116" spans="1:7" x14ac:dyDescent="0.25">
      <c r="A116" t="s">
        <v>278</v>
      </c>
      <c r="B116" s="12">
        <f>Iss</f>
        <v>1.9999999999999998E-5</v>
      </c>
      <c r="C116" t="s">
        <v>11</v>
      </c>
      <c r="E116" t="s">
        <v>280</v>
      </c>
    </row>
    <row r="117" spans="1:7" x14ac:dyDescent="0.25">
      <c r="A117" t="s">
        <v>281</v>
      </c>
      <c r="B117" s="1">
        <f>Iss*VOUT*Cout/(Vref*IOUT)</f>
        <v>1.3159999999999998E-8</v>
      </c>
      <c r="C117" t="s">
        <v>162</v>
      </c>
      <c r="E117" t="s">
        <v>282</v>
      </c>
    </row>
    <row r="118" spans="1:7" x14ac:dyDescent="0.25">
      <c r="A118" t="s">
        <v>283</v>
      </c>
      <c r="B118" s="3">
        <f>'Design Converter'!H42*(10^-3)</f>
        <v>0.01</v>
      </c>
      <c r="C118" t="s">
        <v>51</v>
      </c>
      <c r="E118" t="s">
        <v>284</v>
      </c>
    </row>
    <row r="119" spans="1:7" x14ac:dyDescent="0.25">
      <c r="A119" t="s">
        <v>287</v>
      </c>
      <c r="B119" s="1">
        <f>(tss*Iss)/(Vref*(1-(VIN_min/VOUT)))</f>
        <v>3.8181818181818177E-7</v>
      </c>
      <c r="C119" t="s">
        <v>162</v>
      </c>
      <c r="E119" t="s">
        <v>288</v>
      </c>
    </row>
    <row r="121" spans="1:7" x14ac:dyDescent="0.25">
      <c r="A121" s="28" t="s">
        <v>291</v>
      </c>
    </row>
    <row r="122" spans="1:7" x14ac:dyDescent="0.25">
      <c r="A122" t="s">
        <v>293</v>
      </c>
      <c r="B122" s="3">
        <f>'Design Converter'!H46</f>
        <v>11.2</v>
      </c>
      <c r="C122" t="s">
        <v>10</v>
      </c>
      <c r="E122" t="s">
        <v>295</v>
      </c>
      <c r="G122" s="31"/>
    </row>
    <row r="123" spans="1:7" x14ac:dyDescent="0.25">
      <c r="A123" t="s">
        <v>294</v>
      </c>
      <c r="B123" s="3">
        <f>'Design Converter'!H47</f>
        <v>10</v>
      </c>
      <c r="C123" t="s">
        <v>10</v>
      </c>
      <c r="E123" t="s">
        <v>296</v>
      </c>
    </row>
    <row r="124" spans="1:7" x14ac:dyDescent="0.25">
      <c r="A124" t="s">
        <v>298</v>
      </c>
      <c r="B124" s="12">
        <f>UV_rise</f>
        <v>1.1000000000000001</v>
      </c>
      <c r="C124" t="s">
        <v>10</v>
      </c>
      <c r="E124" t="s">
        <v>303</v>
      </c>
    </row>
    <row r="125" spans="1:7" x14ac:dyDescent="0.25">
      <c r="A125" t="s">
        <v>299</v>
      </c>
      <c r="B125" s="12">
        <f>UV_fall</f>
        <v>1.075</v>
      </c>
      <c r="C125" t="s">
        <v>10</v>
      </c>
      <c r="E125" t="s">
        <v>302</v>
      </c>
    </row>
    <row r="126" spans="1:7" x14ac:dyDescent="0.25">
      <c r="A126" t="s">
        <v>304</v>
      </c>
      <c r="B126" s="12">
        <f>UV_I_hyst</f>
        <v>9.9999999999999991E-6</v>
      </c>
      <c r="C126" t="s">
        <v>11</v>
      </c>
      <c r="E126" t="s">
        <v>306</v>
      </c>
      <c r="G126" s="168">
        <f>(Vuvlo_on*0.977)-Vuvlo_off</f>
        <v>0.94239999999999924</v>
      </c>
    </row>
    <row r="127" spans="1:7" x14ac:dyDescent="0.25">
      <c r="A127" t="s">
        <v>307</v>
      </c>
      <c r="B127" s="16">
        <f>((Vuvlo_on*(UV_fall/UV_rise))-Vuvlo_off)/UV_I_hyst</f>
        <v>94545.45454545437</v>
      </c>
      <c r="C127" s="2" t="s">
        <v>36</v>
      </c>
      <c r="E127" t="s">
        <v>394</v>
      </c>
      <c r="G127" s="20">
        <f>B125/B124</f>
        <v>0.97727272727272718</v>
      </c>
    </row>
    <row r="128" spans="1:7" x14ac:dyDescent="0.25">
      <c r="A128" t="s">
        <v>307</v>
      </c>
      <c r="B128" s="3">
        <f>'Design Converter'!H49*1000</f>
        <v>100000</v>
      </c>
      <c r="C128" s="2" t="s">
        <v>36</v>
      </c>
      <c r="E128" t="s">
        <v>395</v>
      </c>
    </row>
    <row r="129" spans="1:7" x14ac:dyDescent="0.25">
      <c r="A129" t="s">
        <v>308</v>
      </c>
      <c r="B129" s="18">
        <f>UV_rise*Ruvlo_top/(Vuvlo_on-UV_rise)</f>
        <v>10891.089108910894</v>
      </c>
      <c r="C129" s="2" t="s">
        <v>36</v>
      </c>
      <c r="E129" t="s">
        <v>396</v>
      </c>
    </row>
    <row r="130" spans="1:7" x14ac:dyDescent="0.25">
      <c r="A130" t="s">
        <v>309</v>
      </c>
      <c r="B130" s="34">
        <f>UV_rise*(Ruvlo_top+Ruvlo_bottom_calc)/Ruvlo_bottom_calc</f>
        <v>11.199999999999998</v>
      </c>
      <c r="E130" t="s">
        <v>311</v>
      </c>
    </row>
    <row r="131" spans="1:7" x14ac:dyDescent="0.25">
      <c r="A131" t="s">
        <v>310</v>
      </c>
      <c r="B131" s="34">
        <f>Ruvlo_top*((UV_fall/Ruvlo_top)-(UV_I_hyst)+(UV_fall/Ruvlo_bottom_calc))</f>
        <v>9.9454545454545435</v>
      </c>
      <c r="E131" t="s">
        <v>312</v>
      </c>
      <c r="G131" s="31"/>
    </row>
    <row r="134" spans="1:7" x14ac:dyDescent="0.25">
      <c r="A134" s="28" t="s">
        <v>171</v>
      </c>
    </row>
    <row r="135" spans="1:7" x14ac:dyDescent="0.25">
      <c r="A135" s="32" t="s">
        <v>197</v>
      </c>
      <c r="B135" s="3" t="str">
        <f>'Design Converter'!H54</f>
        <v>12V</v>
      </c>
      <c r="C135" t="s">
        <v>10</v>
      </c>
      <c r="E135" t="s">
        <v>238</v>
      </c>
    </row>
    <row r="136" spans="1:7" x14ac:dyDescent="0.25">
      <c r="A136" s="32"/>
    </row>
    <row r="137" spans="1:7" x14ac:dyDescent="0.25">
      <c r="A137" s="31" t="s">
        <v>252</v>
      </c>
    </row>
    <row r="138" spans="1:7" x14ac:dyDescent="0.25">
      <c r="A138" t="s">
        <v>550</v>
      </c>
      <c r="B138">
        <f>VOUT_range</f>
        <v>2</v>
      </c>
      <c r="E138" t="s">
        <v>520</v>
      </c>
    </row>
    <row r="139" spans="1:7" x14ac:dyDescent="0.25">
      <c r="A139" t="s">
        <v>551</v>
      </c>
      <c r="B139">
        <f>CHOOSE(VOUT_range,Kfb_low,Kfb_high)</f>
        <v>60</v>
      </c>
      <c r="C139" t="s">
        <v>150</v>
      </c>
    </row>
    <row r="140" spans="1:7" x14ac:dyDescent="0.25">
      <c r="A140" t="s">
        <v>558</v>
      </c>
      <c r="B140">
        <f>CHOOSE(VOUT_range,Rmax_low,Rmax_high)</f>
        <v>35000</v>
      </c>
      <c r="C140" t="s">
        <v>469</v>
      </c>
    </row>
    <row r="141" spans="1:7" x14ac:dyDescent="0.25">
      <c r="A141" t="s">
        <v>559</v>
      </c>
      <c r="B141">
        <f>CHOOSE(VOUT_range,Rmin_low,Rmin_high)</f>
        <v>20000</v>
      </c>
      <c r="C141" t="s">
        <v>469</v>
      </c>
    </row>
    <row r="142" spans="1:7" x14ac:dyDescent="0.25">
      <c r="A142" t="s">
        <v>562</v>
      </c>
      <c r="B142" s="1">
        <f>VOUT/Kfb</f>
        <v>0.35</v>
      </c>
      <c r="C142" t="s">
        <v>10</v>
      </c>
      <c r="E142" t="s">
        <v>563</v>
      </c>
    </row>
    <row r="143" spans="1:7" x14ac:dyDescent="0.25">
      <c r="A143" t="s">
        <v>560</v>
      </c>
      <c r="B143" s="1">
        <f>((Vref*Rmax)-(VTRK*Rmax))/Vref</f>
        <v>22750</v>
      </c>
      <c r="E143">
        <f>Vref</f>
        <v>1</v>
      </c>
    </row>
    <row r="144" spans="1:7" x14ac:dyDescent="0.25">
      <c r="A144" t="s">
        <v>561</v>
      </c>
      <c r="B144" s="1">
        <f>((Vref*Rmin)-(VTRK*Rmin))/Vref</f>
        <v>13000</v>
      </c>
    </row>
    <row r="145" spans="1:5" x14ac:dyDescent="0.25">
      <c r="A145" t="s">
        <v>189</v>
      </c>
      <c r="B145" s="3">
        <f>'Design Converter'!H60*(10^3)</f>
        <v>20000</v>
      </c>
      <c r="C145" s="2" t="s">
        <v>36</v>
      </c>
      <c r="E145" t="s">
        <v>239</v>
      </c>
    </row>
    <row r="146" spans="1:5" x14ac:dyDescent="0.25">
      <c r="A146" t="s">
        <v>243</v>
      </c>
      <c r="B146" s="18">
        <f>RFBT/((Vref/VTRK)-1)</f>
        <v>10769.23076923077</v>
      </c>
      <c r="C146" s="2" t="s">
        <v>36</v>
      </c>
      <c r="E146" t="s">
        <v>246</v>
      </c>
    </row>
    <row r="147" spans="1:5" x14ac:dyDescent="0.25">
      <c r="A147" t="s">
        <v>190</v>
      </c>
      <c r="B147" s="3">
        <f>'Design Converter'!H62*(10^3)</f>
        <v>11000</v>
      </c>
      <c r="C147" s="2" t="s">
        <v>36</v>
      </c>
      <c r="E147" t="s">
        <v>247</v>
      </c>
    </row>
    <row r="148" spans="1:5" x14ac:dyDescent="0.25">
      <c r="A148" t="s">
        <v>248</v>
      </c>
      <c r="B148">
        <f>VOUT/(RFBB+RFBT)</f>
        <v>6.774193548387097E-4</v>
      </c>
      <c r="C148" s="2" t="s">
        <v>11</v>
      </c>
      <c r="E148" t="s">
        <v>567</v>
      </c>
    </row>
    <row r="149" spans="1:5" x14ac:dyDescent="0.25">
      <c r="C149" s="2"/>
    </row>
    <row r="150" spans="1:5" x14ac:dyDescent="0.25">
      <c r="A150" s="31" t="s">
        <v>253</v>
      </c>
      <c r="E150" t="s">
        <v>388</v>
      </c>
    </row>
    <row r="152" spans="1:5" x14ac:dyDescent="0.25">
      <c r="A152" s="22" t="s">
        <v>452</v>
      </c>
      <c r="E152" t="s">
        <v>504</v>
      </c>
    </row>
    <row r="153" spans="1:5" x14ac:dyDescent="0.25">
      <c r="A153" s="22"/>
    </row>
    <row r="154" spans="1:5" x14ac:dyDescent="0.25">
      <c r="A154" t="s">
        <v>501</v>
      </c>
      <c r="B154" s="20">
        <f>(R_cs*Acs/(2*Lm*Fsw))*(1-(VIN_min/VOUT))*(VIN_min/VOUT)</f>
        <v>9.3537414965986392E-4</v>
      </c>
      <c r="E154" t="s">
        <v>497</v>
      </c>
    </row>
    <row r="155" spans="1:5" x14ac:dyDescent="0.25">
      <c r="A155" t="s">
        <v>502</v>
      </c>
      <c r="B155" s="20">
        <f>1/((0.5-(1-(VIN_min/VOUT)))*(R_cs*Acs/(Lm*Fsw))+(Vsl*Acs/VOUT))</f>
        <v>47.058823529411768</v>
      </c>
      <c r="E155" t="s">
        <v>497</v>
      </c>
    </row>
    <row r="156" spans="1:5" x14ac:dyDescent="0.25">
      <c r="A156" t="s">
        <v>503</v>
      </c>
      <c r="B156" s="20">
        <f>2+((VOUT*((VIN_min/VOUT)^2))/(IOUT*R_cs*Acs))*((1/Km_VINmin)+(Kex_VINmin/(VIN_min/VOUT)))</f>
        <v>2.4913076341647771</v>
      </c>
      <c r="E156" t="s">
        <v>497</v>
      </c>
    </row>
    <row r="157" spans="1:5" x14ac:dyDescent="0.25">
      <c r="A157" s="22"/>
      <c r="B157" s="20"/>
    </row>
    <row r="158" spans="1:5" x14ac:dyDescent="0.25">
      <c r="A158" s="22"/>
      <c r="B158" s="20"/>
    </row>
    <row r="159" spans="1:5" x14ac:dyDescent="0.25">
      <c r="A159" s="22"/>
      <c r="B159" s="20"/>
    </row>
    <row r="160" spans="1:5" x14ac:dyDescent="0.25">
      <c r="A160" t="s">
        <v>398</v>
      </c>
      <c r="B160" s="20">
        <f>(Gcomp*(VIN_min/VOUT)*(VOUT/IOUT))/(Kd_VINmin*R_cs*Acs/Np)</f>
        <v>17.839805825242717</v>
      </c>
    </row>
    <row r="161" spans="1:5" x14ac:dyDescent="0.25">
      <c r="B161" s="20"/>
    </row>
    <row r="162" spans="1:5" x14ac:dyDescent="0.25">
      <c r="A162" t="s">
        <v>399</v>
      </c>
      <c r="B162" s="20">
        <f>Kd_VINmin/(Cout*(VOUT/IOUT))</f>
        <v>3786.1818148400871</v>
      </c>
      <c r="C162" t="s">
        <v>385</v>
      </c>
      <c r="E162" t="s">
        <v>384</v>
      </c>
    </row>
    <row r="163" spans="1:5" x14ac:dyDescent="0.25">
      <c r="A163" t="s">
        <v>400</v>
      </c>
      <c r="B163" s="20">
        <f>B162/(2*PI())</f>
        <v>602.5895512764431</v>
      </c>
      <c r="C163" t="s">
        <v>65</v>
      </c>
      <c r="E163" t="s">
        <v>249</v>
      </c>
    </row>
    <row r="164" spans="1:5" x14ac:dyDescent="0.25">
      <c r="B164" s="20"/>
    </row>
    <row r="165" spans="1:5" x14ac:dyDescent="0.25">
      <c r="A165" t="s">
        <v>401</v>
      </c>
      <c r="B165" s="20">
        <f>1/(Cout*Resr)</f>
        <v>265957.44680851063</v>
      </c>
      <c r="C165" t="s">
        <v>386</v>
      </c>
      <c r="E165" t="s">
        <v>387</v>
      </c>
    </row>
    <row r="166" spans="1:5" x14ac:dyDescent="0.25">
      <c r="A166" t="s">
        <v>402</v>
      </c>
      <c r="B166" s="20">
        <f>B165/(2*PI())</f>
        <v>42328.442311674291</v>
      </c>
      <c r="C166" t="s">
        <v>65</v>
      </c>
      <c r="E166" t="s">
        <v>251</v>
      </c>
    </row>
    <row r="167" spans="1:5" x14ac:dyDescent="0.25">
      <c r="B167" s="20"/>
    </row>
    <row r="168" spans="1:5" x14ac:dyDescent="0.25">
      <c r="A168" t="s">
        <v>403</v>
      </c>
      <c r="B168" s="20">
        <f>((VOUT/IOUT)*((VIN_min/VOUT)^2))/(Lm)</f>
        <v>317460.31746031746</v>
      </c>
      <c r="E168" t="s">
        <v>383</v>
      </c>
    </row>
    <row r="169" spans="1:5" x14ac:dyDescent="0.25">
      <c r="A169" t="s">
        <v>404</v>
      </c>
      <c r="B169" s="20">
        <f>B168/(2*PI())</f>
        <v>50525.378759331856</v>
      </c>
      <c r="C169" t="s">
        <v>65</v>
      </c>
      <c r="E169" t="s">
        <v>250</v>
      </c>
    </row>
    <row r="170" spans="1:5" x14ac:dyDescent="0.25">
      <c r="B170" s="20">
        <f>Fsw/10</f>
        <v>200000</v>
      </c>
      <c r="C170" t="s">
        <v>65</v>
      </c>
      <c r="E170" t="s">
        <v>256</v>
      </c>
    </row>
    <row r="171" spans="1:5" x14ac:dyDescent="0.25">
      <c r="B171" s="30">
        <f>IF((B169/5)&lt;(B170),0,1)</f>
        <v>0</v>
      </c>
      <c r="E171" t="s">
        <v>257</v>
      </c>
    </row>
    <row r="172" spans="1:5" x14ac:dyDescent="0.25">
      <c r="B172" s="20"/>
    </row>
    <row r="173" spans="1:5" x14ac:dyDescent="0.25">
      <c r="A173" t="s">
        <v>405</v>
      </c>
      <c r="B173" s="20">
        <f>(Vsl*Fsw)</f>
        <v>90000</v>
      </c>
      <c r="C173" t="s">
        <v>150</v>
      </c>
      <c r="E173" t="s">
        <v>505</v>
      </c>
    </row>
    <row r="174" spans="1:5" x14ac:dyDescent="0.25">
      <c r="A174" t="s">
        <v>406</v>
      </c>
      <c r="B174" s="20">
        <f>(R_cs*VIN_min)/Lm</f>
        <v>15000</v>
      </c>
      <c r="C174" t="s">
        <v>150</v>
      </c>
      <c r="E174" t="s">
        <v>214</v>
      </c>
    </row>
    <row r="175" spans="1:5" x14ac:dyDescent="0.25">
      <c r="B175" s="20"/>
    </row>
    <row r="176" spans="1:5" x14ac:dyDescent="0.25">
      <c r="A176" t="s">
        <v>407</v>
      </c>
      <c r="B176" s="20">
        <f>2*PI()*Fsw</f>
        <v>12566370.614359172</v>
      </c>
      <c r="C176" t="s">
        <v>216</v>
      </c>
      <c r="E176" t="s">
        <v>498</v>
      </c>
    </row>
    <row r="177" spans="1:5" x14ac:dyDescent="0.25">
      <c r="A177" t="s">
        <v>408</v>
      </c>
      <c r="B177" s="20">
        <f>1/(PI()*(((VIN_min/VOUT)*(1+(B173/B174)))-0.5))</f>
        <v>0.11234466571192614</v>
      </c>
      <c r="E177" t="s">
        <v>499</v>
      </c>
    </row>
    <row r="178" spans="1:5" x14ac:dyDescent="0.25">
      <c r="B178" s="20"/>
    </row>
    <row r="179" spans="1:5" x14ac:dyDescent="0.25">
      <c r="A179" t="s">
        <v>254</v>
      </c>
      <c r="B179" s="20">
        <f>IF(B171=0,fz_rhp/5,Fsw/10)</f>
        <v>10105.07575186637</v>
      </c>
      <c r="C179" t="s">
        <v>65</v>
      </c>
      <c r="E179" t="s">
        <v>464</v>
      </c>
    </row>
    <row r="180" spans="1:5" x14ac:dyDescent="0.25">
      <c r="B180" s="29">
        <f>fcross</f>
        <v>5500</v>
      </c>
      <c r="C180" t="s">
        <v>539</v>
      </c>
      <c r="E180" t="s">
        <v>570</v>
      </c>
    </row>
    <row r="181" spans="1:5" x14ac:dyDescent="0.25">
      <c r="A181" t="s">
        <v>261</v>
      </c>
      <c r="B181" s="51">
        <f>SQRT(B163*fcross)</f>
        <v>1820.5061197426492</v>
      </c>
      <c r="C181" t="s">
        <v>65</v>
      </c>
      <c r="E181" t="s">
        <v>490</v>
      </c>
    </row>
    <row r="182" spans="1:5" x14ac:dyDescent="0.25">
      <c r="A182" t="s">
        <v>263</v>
      </c>
      <c r="B182" s="30">
        <f>SQRT(fz_rhp*Fsw/2)</f>
        <v>224778.51044824516</v>
      </c>
      <c r="C182" t="s">
        <v>65</v>
      </c>
      <c r="E182" t="s">
        <v>417</v>
      </c>
    </row>
    <row r="184" spans="1:5" x14ac:dyDescent="0.25">
      <c r="A184" t="s">
        <v>509</v>
      </c>
      <c r="B184" s="20">
        <f>10^(-Loop_Modeling!AD7/20)</f>
        <v>0.50799000615894607</v>
      </c>
    </row>
    <row r="185" spans="1:5" x14ac:dyDescent="0.25">
      <c r="A185" t="s">
        <v>507</v>
      </c>
      <c r="B185" s="20">
        <f>SQRT(1+((B179/fp_ea_est)^2))</f>
        <v>1.0010099975276836</v>
      </c>
    </row>
    <row r="186" spans="1:5" x14ac:dyDescent="0.25">
      <c r="A186" t="s">
        <v>508</v>
      </c>
      <c r="B186" s="20">
        <f>SQRT(1+(fz_ea_est/B179)^2)</f>
        <v>1.0160987934962495</v>
      </c>
    </row>
    <row r="188" spans="1:5" x14ac:dyDescent="0.25">
      <c r="A188" t="s">
        <v>472</v>
      </c>
      <c r="B188" s="17">
        <f>(fp_ea_est*B184*Kfb)/((fp_ea_est-fz_ea_est)*gm_ea)*(B185/B186)</f>
        <v>30271.965416418418</v>
      </c>
      <c r="C188" s="2" t="s">
        <v>36</v>
      </c>
      <c r="E188" s="31" t="s">
        <v>506</v>
      </c>
    </row>
    <row r="189" spans="1:5" x14ac:dyDescent="0.25">
      <c r="A189" t="s">
        <v>473</v>
      </c>
      <c r="B189" s="155">
        <f>1/(2*PI()*fz_ea_est*Rcomp_calc_CCM)</f>
        <v>2.8879347056610283E-9</v>
      </c>
      <c r="C189" s="2" t="s">
        <v>162</v>
      </c>
    </row>
    <row r="190" spans="1:5" x14ac:dyDescent="0.25">
      <c r="A190" t="s">
        <v>474</v>
      </c>
      <c r="B190" s="155">
        <f>((gm_ea)/(2*PI()*fp_ea_est*B184*Kfb))*(B186/B185)</f>
        <v>2.3580686510481913E-11</v>
      </c>
      <c r="C190" t="s">
        <v>162</v>
      </c>
    </row>
    <row r="193" spans="1:5" x14ac:dyDescent="0.25">
      <c r="A193" s="22" t="s">
        <v>453</v>
      </c>
      <c r="E193" s="31"/>
    </row>
    <row r="195" spans="1:5" x14ac:dyDescent="0.25">
      <c r="A195" t="s">
        <v>459</v>
      </c>
      <c r="B195">
        <f>Fsw/((R_cs*Acs*(VIN_min/Lm))+((R_sl+Rsl_int)*Isl))</f>
        <v>13.333325333338134</v>
      </c>
      <c r="C195" t="s">
        <v>150</v>
      </c>
      <c r="E195" t="s">
        <v>479</v>
      </c>
    </row>
    <row r="196" spans="1:5" x14ac:dyDescent="0.25">
      <c r="A196" t="s">
        <v>458</v>
      </c>
      <c r="B196">
        <f>(B195*2*VOUT/Dc_VIN_min)*(((VOUT/VIN_min)-1)/((2*VOUT/VIN_min)-1))</f>
        <v>367.49977950013226</v>
      </c>
      <c r="C196" t="s">
        <v>150</v>
      </c>
    </row>
    <row r="197" spans="1:5" x14ac:dyDescent="0.25">
      <c r="A197" t="s">
        <v>460</v>
      </c>
      <c r="B197">
        <f>(IOUT*((2*VOUT)-VIN_min))/(Cout*VOUT*(VOUT-VIN_min))</f>
        <v>4421.1108040895278</v>
      </c>
      <c r="C197" t="s">
        <v>385</v>
      </c>
    </row>
    <row r="198" spans="1:5" x14ac:dyDescent="0.25">
      <c r="B198">
        <f>B197/(2*PI())</f>
        <v>703.6416384278325</v>
      </c>
      <c r="C198" t="s">
        <v>65</v>
      </c>
    </row>
    <row r="199" spans="1:5" x14ac:dyDescent="0.25">
      <c r="A199" t="s">
        <v>461</v>
      </c>
      <c r="B199">
        <f>1/(Cout*Resr)</f>
        <v>265957.44680851063</v>
      </c>
      <c r="C199" t="s">
        <v>385</v>
      </c>
    </row>
    <row r="200" spans="1:5" x14ac:dyDescent="0.25">
      <c r="B200">
        <f>B199/(2*PI())</f>
        <v>42328.442311674291</v>
      </c>
      <c r="C200" t="s">
        <v>65</v>
      </c>
    </row>
    <row r="201" spans="1:5" x14ac:dyDescent="0.25">
      <c r="A201" t="s">
        <v>462</v>
      </c>
      <c r="B201">
        <f>2*Fsw/(Dc_VIN_min)</f>
        <v>7636363.6363636358</v>
      </c>
      <c r="C201" t="s">
        <v>385</v>
      </c>
      <c r="E201" t="s">
        <v>478</v>
      </c>
    </row>
    <row r="202" spans="1:5" x14ac:dyDescent="0.25">
      <c r="B202">
        <f>B201/(2*PI())</f>
        <v>1215365.0199744734</v>
      </c>
      <c r="C202" t="s">
        <v>65</v>
      </c>
    </row>
    <row r="204" spans="1:5" x14ac:dyDescent="0.25">
      <c r="A204" t="s">
        <v>463</v>
      </c>
      <c r="B204">
        <f>IF(2*Fsw/(2*PI()*Dc_VIN_min*5)&lt;Fsw/10,2*Fsw/(2*PI()*Dc_VIN_min*5),Fsw/10)</f>
        <v>200000</v>
      </c>
      <c r="C204" t="s">
        <v>65</v>
      </c>
      <c r="E204" t="s">
        <v>569</v>
      </c>
    </row>
    <row r="205" spans="1:5" x14ac:dyDescent="0.25">
      <c r="B205" s="29">
        <f>fcross</f>
        <v>5500</v>
      </c>
      <c r="C205" t="s">
        <v>539</v>
      </c>
      <c r="E205" t="s">
        <v>570</v>
      </c>
    </row>
    <row r="206" spans="1:5" x14ac:dyDescent="0.25">
      <c r="A206" t="s">
        <v>261</v>
      </c>
      <c r="B206" s="51">
        <f>SQRT(B198*fcross)</f>
        <v>1967.2389309265611</v>
      </c>
      <c r="C206" t="s">
        <v>65</v>
      </c>
    </row>
    <row r="207" spans="1:5" x14ac:dyDescent="0.25">
      <c r="A207" t="s">
        <v>263</v>
      </c>
      <c r="B207" s="30">
        <f>Fsw/2</f>
        <v>1000000</v>
      </c>
      <c r="C207" t="s">
        <v>65</v>
      </c>
    </row>
    <row r="209" spans="1:5" x14ac:dyDescent="0.25">
      <c r="A209" t="s">
        <v>509</v>
      </c>
      <c r="B209" s="20">
        <f>10^(-Loop_Modeling!AQ7/20)</f>
        <v>9.4557952196829873E-2</v>
      </c>
    </row>
    <row r="210" spans="1:5" x14ac:dyDescent="0.25">
      <c r="A210" t="s">
        <v>507</v>
      </c>
      <c r="B210" s="20">
        <f>SQRT(1+((fcross/B207)^2))</f>
        <v>1.0000151248856188</v>
      </c>
    </row>
    <row r="211" spans="1:5" x14ac:dyDescent="0.25">
      <c r="A211" t="s">
        <v>508</v>
      </c>
      <c r="B211" s="20">
        <f>SQRT(1+(B206/fcross)^2)</f>
        <v>1.0620427690778347</v>
      </c>
    </row>
    <row r="214" spans="1:5" x14ac:dyDescent="0.25">
      <c r="A214" t="s">
        <v>466</v>
      </c>
      <c r="B214">
        <f>(B207*B209*Kfb)/((B207-B206)*gm_ea)*(B210/B211)</f>
        <v>5352.6527952059396</v>
      </c>
      <c r="C214" t="s">
        <v>469</v>
      </c>
      <c r="E214" t="s">
        <v>260</v>
      </c>
    </row>
    <row r="215" spans="1:5" x14ac:dyDescent="0.25">
      <c r="A215" t="s">
        <v>470</v>
      </c>
      <c r="B215">
        <f>1/(2*PI()*B206*RCOMP_CALC_DCM)</f>
        <v>1.511450567218084E-8</v>
      </c>
      <c r="C215" t="s">
        <v>162</v>
      </c>
      <c r="E215" t="s">
        <v>467</v>
      </c>
    </row>
    <row r="216" spans="1:5" x14ac:dyDescent="0.25">
      <c r="A216" t="s">
        <v>471</v>
      </c>
      <c r="B216">
        <f>((gm_ea)/(2*PI()*B207*Kfb))*(B211/B210)</f>
        <v>2.8171133327120967E-12</v>
      </c>
      <c r="C216" t="s">
        <v>162</v>
      </c>
      <c r="E216" t="s">
        <v>468</v>
      </c>
    </row>
    <row r="217" spans="1:5" ht="16.5" customHeight="1" x14ac:dyDescent="0.25"/>
    <row r="218" spans="1:5" ht="16.5" customHeight="1" x14ac:dyDescent="0.25">
      <c r="A218" s="152" t="s">
        <v>465</v>
      </c>
    </row>
    <row r="219" spans="1:5" x14ac:dyDescent="0.25">
      <c r="B219">
        <f>IF(B54=0,B204,B179)</f>
        <v>10105.07575186637</v>
      </c>
      <c r="C219" t="s">
        <v>65</v>
      </c>
      <c r="E219" t="s">
        <v>568</v>
      </c>
    </row>
    <row r="220" spans="1:5" x14ac:dyDescent="0.25">
      <c r="A220" t="s">
        <v>254</v>
      </c>
      <c r="B220" s="3">
        <f>'Design Converter'!H65*1000</f>
        <v>5500</v>
      </c>
      <c r="C220" t="s">
        <v>65</v>
      </c>
      <c r="E220" t="s">
        <v>255</v>
      </c>
    </row>
    <row r="222" spans="1:5" x14ac:dyDescent="0.25">
      <c r="A222" t="s">
        <v>259</v>
      </c>
      <c r="B222">
        <f>IF(B54=0,RCOMP_CALC_DCM,Rcomp_calc_CCM)</f>
        <v>30271.965416418418</v>
      </c>
    </row>
    <row r="223" spans="1:5" x14ac:dyDescent="0.25">
      <c r="A223" t="s">
        <v>180</v>
      </c>
      <c r="B223" s="3">
        <f>'Design Converter'!H68*1000</f>
        <v>35000</v>
      </c>
      <c r="C223" s="2" t="s">
        <v>36</v>
      </c>
      <c r="E223" t="s">
        <v>186</v>
      </c>
    </row>
    <row r="224" spans="1:5" x14ac:dyDescent="0.25">
      <c r="A224" t="s">
        <v>262</v>
      </c>
      <c r="B224">
        <f>IF(B54=0,CCOMP_CALC_DCM,CCOMP_calc_CCM)</f>
        <v>2.8879347056610283E-9</v>
      </c>
    </row>
    <row r="225" spans="1:5" x14ac:dyDescent="0.25">
      <c r="A225" t="s">
        <v>184</v>
      </c>
      <c r="B225" s="3">
        <f>'Design Converter'!H69*(10^-9)</f>
        <v>3.3000000000000002E-9</v>
      </c>
      <c r="C225" t="s">
        <v>162</v>
      </c>
      <c r="E225" t="s">
        <v>187</v>
      </c>
    </row>
    <row r="226" spans="1:5" x14ac:dyDescent="0.25">
      <c r="A226" t="s">
        <v>475</v>
      </c>
      <c r="B226">
        <f>IF(B54=0,CHF_CALC_DCM,CHF_CALC_CCM)</f>
        <v>2.3580686510481913E-11</v>
      </c>
    </row>
    <row r="227" spans="1:5" x14ac:dyDescent="0.25">
      <c r="A227" t="s">
        <v>185</v>
      </c>
      <c r="B227" s="3">
        <f>'Design Converter'!H70*(10^-12)</f>
        <v>1E-10</v>
      </c>
      <c r="C227" t="s">
        <v>162</v>
      </c>
      <c r="E227" t="s">
        <v>188</v>
      </c>
    </row>
    <row r="229" spans="1:5" x14ac:dyDescent="0.25">
      <c r="A229" s="28" t="s">
        <v>320</v>
      </c>
    </row>
    <row r="230" spans="1:5" x14ac:dyDescent="0.25">
      <c r="A230" s="28" t="s">
        <v>338</v>
      </c>
    </row>
    <row r="231" spans="1:5" x14ac:dyDescent="0.25">
      <c r="A231" s="86" t="s">
        <v>392</v>
      </c>
      <c r="E231" t="s">
        <v>393</v>
      </c>
    </row>
    <row r="236" spans="1:5" x14ac:dyDescent="0.25">
      <c r="A236" s="28" t="s">
        <v>575</v>
      </c>
    </row>
    <row r="237" spans="1:5" ht="15.75" x14ac:dyDescent="0.3">
      <c r="A237" t="s">
        <v>347</v>
      </c>
      <c r="B237" s="3">
        <f>'Design Converter'!H75*(10^-3)</f>
        <v>8.8000000000000005E-3</v>
      </c>
      <c r="C237" s="2" t="s">
        <v>36</v>
      </c>
      <c r="E237" s="78" t="s">
        <v>327</v>
      </c>
    </row>
    <row r="238" spans="1:5" ht="15.75" x14ac:dyDescent="0.3">
      <c r="A238" t="s">
        <v>339</v>
      </c>
      <c r="B238" s="3">
        <f>'Design Converter'!H76*(10^-9)</f>
        <v>1E-8</v>
      </c>
      <c r="C238" t="s">
        <v>162</v>
      </c>
      <c r="E238" s="78" t="s">
        <v>328</v>
      </c>
    </row>
    <row r="239" spans="1:5" ht="15.75" x14ac:dyDescent="0.3">
      <c r="A239" t="s">
        <v>341</v>
      </c>
      <c r="B239" s="3">
        <f>'Design Converter'!H77*(10^-9)</f>
        <v>2.4E-9</v>
      </c>
      <c r="C239" t="s">
        <v>162</v>
      </c>
      <c r="E239" s="78" t="s">
        <v>329</v>
      </c>
    </row>
    <row r="240" spans="1:5" ht="15.75" x14ac:dyDescent="0.3">
      <c r="A240" t="s">
        <v>340</v>
      </c>
      <c r="B240" s="3">
        <f>'Design Converter'!H78*(10^-9)</f>
        <v>4.5000000000000006E-9</v>
      </c>
      <c r="C240" t="s">
        <v>162</v>
      </c>
      <c r="E240" s="78" t="s">
        <v>330</v>
      </c>
    </row>
    <row r="241" spans="1:8" ht="15.75" x14ac:dyDescent="0.3">
      <c r="A241" t="s">
        <v>342</v>
      </c>
      <c r="B241" s="3">
        <f>'Design Converter'!H79</f>
        <v>0</v>
      </c>
      <c r="C241" s="2" t="s">
        <v>36</v>
      </c>
      <c r="E241" s="78" t="s">
        <v>331</v>
      </c>
    </row>
    <row r="242" spans="1:8" x14ac:dyDescent="0.25">
      <c r="A242" t="s">
        <v>348</v>
      </c>
      <c r="B242" s="12">
        <v>5</v>
      </c>
      <c r="C242" s="2"/>
      <c r="E242" s="78" t="s">
        <v>349</v>
      </c>
      <c r="H242" t="s">
        <v>358</v>
      </c>
    </row>
    <row r="243" spans="1:8" ht="15.75" x14ac:dyDescent="0.3">
      <c r="A243" t="s">
        <v>343</v>
      </c>
      <c r="B243" s="187">
        <v>50</v>
      </c>
      <c r="C243" s="2" t="s">
        <v>337</v>
      </c>
      <c r="E243" s="78" t="s">
        <v>332</v>
      </c>
    </row>
    <row r="244" spans="1:8" ht="15.75" x14ac:dyDescent="0.3">
      <c r="A244" t="s">
        <v>344</v>
      </c>
      <c r="B244" s="3">
        <f>'Design Converter'!H80</f>
        <v>1.7</v>
      </c>
      <c r="C244" s="2" t="s">
        <v>10</v>
      </c>
      <c r="E244" s="78" t="s">
        <v>333</v>
      </c>
    </row>
    <row r="245" spans="1:8" x14ac:dyDescent="0.25">
      <c r="A245" t="s">
        <v>354</v>
      </c>
      <c r="B245" s="12">
        <f>Vcc</f>
        <v>5</v>
      </c>
      <c r="C245" s="2" t="s">
        <v>10</v>
      </c>
      <c r="E245" s="78" t="s">
        <v>359</v>
      </c>
    </row>
    <row r="246" spans="1:8" x14ac:dyDescent="0.25">
      <c r="C246" s="2"/>
      <c r="E246" s="78"/>
    </row>
    <row r="247" spans="1:8" x14ac:dyDescent="0.25">
      <c r="C247" s="2"/>
      <c r="E247" s="78"/>
    </row>
    <row r="248" spans="1:8" x14ac:dyDescent="0.25">
      <c r="A248" t="s">
        <v>350</v>
      </c>
      <c r="B248" s="25">
        <f>Vth+(((VOUT*IOUT)/VIN_min)/gfs)</f>
        <v>2.33</v>
      </c>
      <c r="C248" s="2" t="s">
        <v>10</v>
      </c>
      <c r="E248" s="78" t="s">
        <v>351</v>
      </c>
    </row>
    <row r="249" spans="1:8" x14ac:dyDescent="0.25">
      <c r="A249" t="s">
        <v>360</v>
      </c>
      <c r="B249" s="1">
        <f>(Qgd+(Qgs/2))*((Rgate+B242)/(Vcc-B248))</f>
        <v>8.7078651685393262E-9</v>
      </c>
      <c r="C249" s="2" t="s">
        <v>51</v>
      </c>
      <c r="E249" s="78" t="s">
        <v>352</v>
      </c>
    </row>
    <row r="250" spans="1:8" ht="15.75" thickBot="1" x14ac:dyDescent="0.3">
      <c r="A250" t="s">
        <v>361</v>
      </c>
      <c r="B250" s="1">
        <f>(Qgd+(Qgs/2))*((B242+Rgate)/B248)</f>
        <v>9.9785407725321894E-9</v>
      </c>
      <c r="C250" t="s">
        <v>51</v>
      </c>
      <c r="E250" s="79" t="s">
        <v>353</v>
      </c>
    </row>
    <row r="253" spans="1:8" x14ac:dyDescent="0.25">
      <c r="A253" s="28" t="s">
        <v>576</v>
      </c>
    </row>
    <row r="254" spans="1:8" ht="15.75" x14ac:dyDescent="0.3">
      <c r="A254" t="s">
        <v>347</v>
      </c>
      <c r="B254" s="3">
        <f>'Design Converter'!H83*(10^-3)</f>
        <v>8.8000000000000005E-3</v>
      </c>
      <c r="C254" s="2" t="s">
        <v>36</v>
      </c>
      <c r="E254" s="78" t="s">
        <v>327</v>
      </c>
    </row>
    <row r="255" spans="1:8" ht="15.75" x14ac:dyDescent="0.3">
      <c r="A255" t="s">
        <v>339</v>
      </c>
      <c r="B255" s="3">
        <f>'Design Converter'!H84*(10^-9)</f>
        <v>1E-8</v>
      </c>
      <c r="C255" t="s">
        <v>162</v>
      </c>
      <c r="E255" s="78" t="s">
        <v>328</v>
      </c>
    </row>
    <row r="256" spans="1:8" ht="15.75" x14ac:dyDescent="0.3">
      <c r="A256" t="s">
        <v>341</v>
      </c>
      <c r="B256" s="3">
        <f>'Design Converter'!H85*(10^-9)</f>
        <v>2.4E-9</v>
      </c>
      <c r="C256" t="s">
        <v>162</v>
      </c>
      <c r="E256" s="78" t="s">
        <v>329</v>
      </c>
    </row>
    <row r="257" spans="1:5" ht="15.75" x14ac:dyDescent="0.3">
      <c r="A257" t="s">
        <v>340</v>
      </c>
      <c r="B257" s="3">
        <f>'Design Converter'!H86*(10^-9)</f>
        <v>4.5000000000000006E-9</v>
      </c>
      <c r="C257" t="s">
        <v>162</v>
      </c>
      <c r="E257" s="78" t="s">
        <v>330</v>
      </c>
    </row>
    <row r="258" spans="1:5" ht="15.75" x14ac:dyDescent="0.3">
      <c r="A258" t="s">
        <v>342</v>
      </c>
      <c r="B258" s="3">
        <f>'Design Converter'!H87</f>
        <v>0</v>
      </c>
      <c r="C258" s="2" t="s">
        <v>36</v>
      </c>
      <c r="E258" s="78" t="s">
        <v>331</v>
      </c>
    </row>
    <row r="259" spans="1:5" x14ac:dyDescent="0.25">
      <c r="A259" t="s">
        <v>348</v>
      </c>
      <c r="B259" s="12">
        <v>5</v>
      </c>
      <c r="C259" s="2"/>
      <c r="E259" s="78" t="s">
        <v>349</v>
      </c>
    </row>
    <row r="260" spans="1:5" ht="15.75" x14ac:dyDescent="0.3">
      <c r="A260" t="s">
        <v>343</v>
      </c>
      <c r="B260" s="187">
        <v>50</v>
      </c>
      <c r="C260" s="2" t="s">
        <v>337</v>
      </c>
      <c r="E260" s="78" t="s">
        <v>332</v>
      </c>
    </row>
    <row r="261" spans="1:5" ht="15.75" x14ac:dyDescent="0.3">
      <c r="A261" t="s">
        <v>344</v>
      </c>
      <c r="B261" s="3">
        <f>'Design Converter'!H88</f>
        <v>1.7</v>
      </c>
      <c r="C261" s="2" t="s">
        <v>10</v>
      </c>
      <c r="E261" s="78" t="s">
        <v>333</v>
      </c>
    </row>
    <row r="262" spans="1:5" x14ac:dyDescent="0.25">
      <c r="A262" t="s">
        <v>354</v>
      </c>
      <c r="B262" s="12">
        <f>Vcc</f>
        <v>5</v>
      </c>
      <c r="C262" s="2" t="s">
        <v>10</v>
      </c>
      <c r="E262" s="78" t="s">
        <v>359</v>
      </c>
    </row>
    <row r="263" spans="1:5" x14ac:dyDescent="0.25">
      <c r="A263" t="s">
        <v>346</v>
      </c>
      <c r="B263" s="3">
        <f>'Design Converter'!H89*10^-9</f>
        <v>3.3000000000000004E-8</v>
      </c>
      <c r="C263" t="s">
        <v>345</v>
      </c>
      <c r="E263" t="s">
        <v>577</v>
      </c>
    </row>
    <row r="264" spans="1:5" x14ac:dyDescent="0.25">
      <c r="A264" t="s">
        <v>321</v>
      </c>
      <c r="B264" s="3">
        <f>'Design Converter'!H90</f>
        <v>0.8</v>
      </c>
      <c r="C264" t="s">
        <v>10</v>
      </c>
      <c r="E264" t="s">
        <v>578</v>
      </c>
    </row>
    <row r="265" spans="1:5" x14ac:dyDescent="0.25">
      <c r="C265" s="2"/>
      <c r="E265" s="78"/>
    </row>
    <row r="266" spans="1:5" x14ac:dyDescent="0.25">
      <c r="A266" t="s">
        <v>350</v>
      </c>
      <c r="B266" s="25">
        <f>Vth+(((VOUT*IOUT)/VIN_min)/B260)</f>
        <v>2.33</v>
      </c>
      <c r="C266" s="2" t="s">
        <v>10</v>
      </c>
      <c r="E266" s="78" t="s">
        <v>351</v>
      </c>
    </row>
    <row r="267" spans="1:5" x14ac:dyDescent="0.25">
      <c r="A267" t="s">
        <v>360</v>
      </c>
      <c r="B267" s="1">
        <f>(B256+(B257/2))*((B258+B259)/(Vcc-B266))</f>
        <v>8.7078651685393262E-9</v>
      </c>
      <c r="C267" s="2" t="s">
        <v>51</v>
      </c>
      <c r="E267" s="78" t="s">
        <v>352</v>
      </c>
    </row>
    <row r="268" spans="1:5" ht="15.75" thickBot="1" x14ac:dyDescent="0.3">
      <c r="A268" t="s">
        <v>361</v>
      </c>
      <c r="B268" s="1">
        <f>(Qgd+(Qgs/2))*((B259+Rgate)/B266)</f>
        <v>9.9785407725321894E-9</v>
      </c>
      <c r="C268" t="s">
        <v>51</v>
      </c>
      <c r="E268" s="79" t="s">
        <v>353</v>
      </c>
    </row>
  </sheetData>
  <mergeCells count="2">
    <mergeCell ref="A1:J1"/>
    <mergeCell ref="E5:H5"/>
  </mergeCells>
  <pageMargins left="0.7" right="0.7" top="0.75" bottom="0.75" header="0.3" footer="0.3"/>
  <pageSetup orientation="portrait" r:id="rId1"/>
  <ignoredErrors>
    <ignoredError sqref="B199 B201" formula="1"/>
  </ignoredErrors>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57150</xdr:colOff>
                <xdr:row>110</xdr:row>
                <xdr:rowOff>0</xdr:rowOff>
              </from>
              <to>
                <xdr:col>13</xdr:col>
                <xdr:colOff>19050</xdr:colOff>
                <xdr:row>112</xdr:row>
                <xdr:rowOff>28575</xdr:rowOff>
              </to>
            </anchor>
          </objectPr>
        </oleObject>
      </mc:Choice>
      <mc:Fallback>
        <oleObject progId="Mathcad" shapeId="205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W157"/>
  <sheetViews>
    <sheetView topLeftCell="P1" zoomScaleNormal="100" workbookViewId="0">
      <pane ySplit="6" topLeftCell="A118" activePane="bottomLeft" state="frozen"/>
      <selection activeCell="R1" sqref="R1"/>
      <selection pane="bottomLeft" activeCell="AM101" sqref="AM101"/>
    </sheetView>
  </sheetViews>
  <sheetFormatPr defaultRowHeight="15" x14ac:dyDescent="0.25"/>
  <cols>
    <col min="10" max="10" width="10" bestFit="1" customWidth="1"/>
    <col min="18" max="18" width="8.85546875"/>
    <col min="21" max="21" width="8.85546875"/>
    <col min="24" max="24" width="8.85546875"/>
    <col min="25" max="25" width="12" bestFit="1" customWidth="1"/>
    <col min="28" max="28" width="8.85546875"/>
    <col min="30" max="30" width="8.85546875"/>
    <col min="35" max="35" width="8.85546875"/>
    <col min="39" max="39" width="11" bestFit="1" customWidth="1"/>
    <col min="40" max="40" width="11" customWidth="1"/>
    <col min="43" max="44" width="8.7109375"/>
    <col min="45" max="46" width="8.85546875"/>
  </cols>
  <sheetData>
    <row r="1" spans="1:49" ht="27.75" x14ac:dyDescent="0.4">
      <c r="A1" s="213" t="s">
        <v>15</v>
      </c>
      <c r="B1" s="213"/>
      <c r="C1" s="213"/>
      <c r="D1" s="213"/>
      <c r="E1" s="213"/>
      <c r="F1" s="213"/>
      <c r="G1" s="213"/>
      <c r="H1" s="213"/>
      <c r="I1" s="213"/>
      <c r="J1" s="213"/>
      <c r="K1" s="213"/>
      <c r="L1" s="213"/>
      <c r="M1" s="213"/>
    </row>
    <row r="4" spans="1:49" ht="15.75" thickBot="1" x14ac:dyDescent="0.3">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row>
    <row r="5" spans="1:49" ht="30" x14ac:dyDescent="0.25">
      <c r="R5" s="219" t="s">
        <v>314</v>
      </c>
      <c r="S5" s="220"/>
      <c r="T5" s="220"/>
      <c r="U5" s="221"/>
      <c r="V5" s="219" t="s">
        <v>315</v>
      </c>
      <c r="W5" s="220"/>
      <c r="X5" s="221"/>
      <c r="Y5" s="219" t="s">
        <v>379</v>
      </c>
      <c r="Z5" s="220"/>
      <c r="AA5" s="220"/>
      <c r="AB5" s="220"/>
      <c r="AC5" s="220"/>
      <c r="AD5" s="221"/>
      <c r="AE5" s="219" t="s">
        <v>573</v>
      </c>
      <c r="AF5" s="220"/>
      <c r="AG5" s="220"/>
      <c r="AH5" s="220"/>
      <c r="AI5" s="221"/>
      <c r="AJ5" s="219" t="s">
        <v>574</v>
      </c>
      <c r="AK5" s="220"/>
      <c r="AL5" s="220"/>
      <c r="AM5" s="220"/>
      <c r="AN5" s="222"/>
      <c r="AO5" s="221"/>
      <c r="AP5" s="215" t="s">
        <v>376</v>
      </c>
      <c r="AQ5" s="216"/>
      <c r="AR5" s="216"/>
      <c r="AS5" s="217"/>
      <c r="AT5" s="218"/>
      <c r="AU5" s="83" t="s">
        <v>369</v>
      </c>
      <c r="AV5" s="84"/>
      <c r="AW5" s="85"/>
    </row>
    <row r="6" spans="1:49" ht="18" x14ac:dyDescent="0.35">
      <c r="R6" s="73" t="s">
        <v>31</v>
      </c>
      <c r="S6" s="71" t="s">
        <v>33</v>
      </c>
      <c r="T6" s="71" t="s">
        <v>270</v>
      </c>
      <c r="U6" s="74" t="s">
        <v>273</v>
      </c>
      <c r="V6" s="73" t="s">
        <v>271</v>
      </c>
      <c r="W6" s="71" t="s">
        <v>272</v>
      </c>
      <c r="X6" s="74" t="s">
        <v>319</v>
      </c>
      <c r="Y6" s="73" t="s">
        <v>316</v>
      </c>
      <c r="Z6" s="71" t="s">
        <v>318</v>
      </c>
      <c r="AA6" s="71" t="s">
        <v>317</v>
      </c>
      <c r="AB6" s="80" t="s">
        <v>323</v>
      </c>
      <c r="AC6" s="80" t="s">
        <v>324</v>
      </c>
      <c r="AD6" s="82" t="s">
        <v>367</v>
      </c>
      <c r="AE6" s="73" t="s">
        <v>362</v>
      </c>
      <c r="AF6" s="71" t="s">
        <v>363</v>
      </c>
      <c r="AG6" s="80" t="s">
        <v>365</v>
      </c>
      <c r="AH6" s="80" t="s">
        <v>364</v>
      </c>
      <c r="AI6" s="82" t="s">
        <v>366</v>
      </c>
      <c r="AJ6" s="73" t="s">
        <v>322</v>
      </c>
      <c r="AK6" s="71" t="s">
        <v>587</v>
      </c>
      <c r="AL6" s="71" t="s">
        <v>325</v>
      </c>
      <c r="AM6" s="71" t="s">
        <v>326</v>
      </c>
      <c r="AN6" s="188" t="s">
        <v>588</v>
      </c>
      <c r="AO6" s="74" t="s">
        <v>591</v>
      </c>
      <c r="AP6" s="73" t="s">
        <v>368</v>
      </c>
      <c r="AQ6" s="206" t="s">
        <v>324</v>
      </c>
      <c r="AR6" s="206" t="s">
        <v>593</v>
      </c>
      <c r="AS6" s="71" t="s">
        <v>371</v>
      </c>
      <c r="AT6" s="74" t="s">
        <v>372</v>
      </c>
      <c r="AU6" s="73" t="s">
        <v>370</v>
      </c>
      <c r="AV6" s="71" t="s">
        <v>378</v>
      </c>
      <c r="AW6" s="74" t="s">
        <v>377</v>
      </c>
    </row>
    <row r="7" spans="1:49" x14ac:dyDescent="0.25">
      <c r="Q7">
        <v>0</v>
      </c>
      <c r="R7" s="73">
        <f t="shared" ref="R7:R70" si="0">VOUT</f>
        <v>21</v>
      </c>
      <c r="S7" s="71">
        <f t="shared" ref="S7:S38" si="1">Q7*$O$12</f>
        <v>0</v>
      </c>
      <c r="T7" s="71">
        <f t="shared" ref="T7:T70" si="2">VIN_var</f>
        <v>12</v>
      </c>
      <c r="U7" s="74">
        <f t="shared" ref="U7:U38" si="3">(R7*S7)/(T7*EFF_est)</f>
        <v>0</v>
      </c>
      <c r="V7" s="73">
        <f>IF(Variable_Management!$B$20=3,2,IF((S7*R7/T7)&lt;((T7*(1-(T7/R7)))/(2*Lm*Fsw)),1,2))</f>
        <v>1</v>
      </c>
      <c r="W7" s="71">
        <f>CHOOSE(V7,SQRT((2*S7*Lm*Fsw*(R7-T7))/((T7)^2)),1-(T7/R7))</f>
        <v>0</v>
      </c>
      <c r="X7" s="74">
        <f t="shared" ref="X7:X38" si="4">CHOOSE(V7,(Lm*Z7*Fsw)/(R7-T7),1-W7)</f>
        <v>0</v>
      </c>
      <c r="Y7" s="73">
        <f t="shared" ref="Y7:Y38" si="5">(T7*W7)/(Lm*Fsw)</f>
        <v>0</v>
      </c>
      <c r="Z7" s="71">
        <f>CHOOSE(V7,Y7,U7+(0.5*Y7))</f>
        <v>0</v>
      </c>
      <c r="AA7" s="71">
        <f>CHOOSE(V7,Z7*SQRT((W7+X7)/3),SQRT((U7^2)+((Y7^2)/12)))</f>
        <v>0</v>
      </c>
      <c r="AB7" s="71">
        <v>0</v>
      </c>
      <c r="AC7" s="71">
        <f t="shared" ref="AC7:AC38" si="6">(AA7^2)*Rdcr</f>
        <v>0</v>
      </c>
      <c r="AD7" s="74">
        <f>AB7+AC7</f>
        <v>0</v>
      </c>
      <c r="AE7" s="73">
        <f>U7*W7</f>
        <v>0</v>
      </c>
      <c r="AF7" s="71">
        <f>CHOOSE(V7,Z7*SQRT(W7/3),SQRT(W7*((Z7^2)+((Y7^2)/3)-(Z7*Y7))))</f>
        <v>0</v>
      </c>
      <c r="AG7" s="71">
        <f t="shared" ref="AG7:AG38" si="7">(AF7^2)*RDS_on</f>
        <v>0</v>
      </c>
      <c r="AH7" s="71">
        <f>((R7*U7)/2)*Fsw*(tr_sw+tf_sw)</f>
        <v>0</v>
      </c>
      <c r="AI7" s="74">
        <f>AG7+AH7</f>
        <v>0</v>
      </c>
      <c r="AJ7" s="73">
        <f>X7*U7</f>
        <v>0</v>
      </c>
      <c r="AK7" s="71">
        <f>CHOOSE(V7,Z7*SQRT(X7/3),SQRT(X7*((Z7^2)+((Y7^2)/3)-(Y7*Z7))))</f>
        <v>0</v>
      </c>
      <c r="AL7" s="71">
        <f t="shared" ref="AL7:AL38" si="8">(AK7^2)*RDS_on_HS</f>
        <v>0</v>
      </c>
      <c r="AM7" s="71">
        <f>CHOOSE(V7,0,(R7+Vd_rect)*Qrr*Fsw)</f>
        <v>0</v>
      </c>
      <c r="AN7" s="188">
        <f>Vd_rect*t_dead*Fsw*Z7</f>
        <v>0</v>
      </c>
      <c r="AO7" s="74">
        <f>AL7+AM7+AN7</f>
        <v>0</v>
      </c>
      <c r="AP7" s="73">
        <f>(AA7^2)*R_cs</f>
        <v>0</v>
      </c>
      <c r="AQ7" s="206">
        <f t="shared" ref="AQ7:AQ38" si="9">Rdcr*AA7^2</f>
        <v>0</v>
      </c>
      <c r="AR7" s="206">
        <f t="shared" ref="AR7:AR38" si="10">ABS(7.759*10^-3*Fsw^0.9458*(0.00787*Y7)^2.304)</f>
        <v>0</v>
      </c>
      <c r="AS7" s="71">
        <f t="shared" ref="AS7:AS38" si="11">(Qg_tot+Qg_tot_HS)*Vcc*Fsw</f>
        <v>0.19999999999999998</v>
      </c>
      <c r="AT7" s="74">
        <f t="shared" ref="AT7:AT38" si="12">IQ*T7</f>
        <v>3.96E-5</v>
      </c>
      <c r="AU7" s="73">
        <f>AP7+AO7+AI7+AD7+AS7+AT7+AQ7+AR7</f>
        <v>0.20003959999999998</v>
      </c>
      <c r="AV7" s="71">
        <f>R7*S7</f>
        <v>0</v>
      </c>
      <c r="AW7" s="74">
        <f>(AV7/(AV7+AU7))*100</f>
        <v>0</v>
      </c>
    </row>
    <row r="8" spans="1:49" x14ac:dyDescent="0.25">
      <c r="M8">
        <f>Fsw</f>
        <v>2000000</v>
      </c>
      <c r="Q8">
        <v>1</v>
      </c>
      <c r="R8" s="73">
        <f t="shared" si="0"/>
        <v>21</v>
      </c>
      <c r="S8" s="71">
        <f t="shared" si="1"/>
        <v>0.1</v>
      </c>
      <c r="T8" s="71">
        <f t="shared" si="2"/>
        <v>12</v>
      </c>
      <c r="U8" s="74">
        <f t="shared" si="3"/>
        <v>0.17500000000000002</v>
      </c>
      <c r="V8" s="73">
        <f>IF(Variable_Management!$B$20=3,2,IF((S8*R8/T8)&lt;((T8*(1-(T8/R8)))/(2*Lm*Fsw)),1,2))</f>
        <v>1</v>
      </c>
      <c r="W8" s="71">
        <f t="shared" ref="W8:W38" si="13">CHOOSE(V8,SQRT((2*S8*Lm*Fsw*(R8-T8))/((T8)^2)),1-(T8/R8))</f>
        <v>0.15811388300841897</v>
      </c>
      <c r="X8" s="74">
        <f t="shared" si="4"/>
        <v>0.21081851067789195</v>
      </c>
      <c r="Y8" s="73">
        <f t="shared" si="5"/>
        <v>0.94868329805051377</v>
      </c>
      <c r="Z8" s="71">
        <f t="shared" ref="Z8:Z15" si="14">CHOOSE(V8,Y8,U8+(0.5*Y8))</f>
        <v>0.94868329805051377</v>
      </c>
      <c r="AA8" s="71">
        <f t="shared" ref="AA8:AA15" si="15">CHOOSE(V8,Z8*SQRT((W8+X8)/3),SQRT((U8^2)+((Y8^2)/12)))</f>
        <v>0.33268561451600709</v>
      </c>
      <c r="AB8" s="71">
        <v>0</v>
      </c>
      <c r="AC8" s="71">
        <f t="shared" si="6"/>
        <v>1.5273801098613269E-4</v>
      </c>
      <c r="AD8" s="74">
        <f t="shared" ref="AD8:AD71" si="16">AB8+AC8</f>
        <v>1.5273801098613269E-4</v>
      </c>
      <c r="AE8" s="73">
        <f>U8*W8</f>
        <v>2.7669929526473323E-2</v>
      </c>
      <c r="AF8" s="71">
        <f t="shared" ref="AF8:AF71" si="17">CHOOSE(V8,Z8*SQRT(W8/3),SQRT(W8*((Z8^2)+((Y8^2)/3)-(Z8*Y8))))</f>
        <v>0.21779385873464313</v>
      </c>
      <c r="AG8" s="71">
        <f t="shared" si="7"/>
        <v>4.1742065114222607E-4</v>
      </c>
      <c r="AH8" s="71">
        <f t="shared" ref="AH8:AH38" si="18">((R8*U8)/2)*Fsw*(tr_sw+tf_sw)</f>
        <v>6.8672541833437836E-2</v>
      </c>
      <c r="AI8" s="74">
        <f t="shared" ref="AI8:AI71" si="19">AG8+AH8</f>
        <v>6.9089962484580061E-2</v>
      </c>
      <c r="AJ8" s="73">
        <f t="shared" ref="AJ8:AJ71" si="20">X8*U8</f>
        <v>3.6893239368631092E-2</v>
      </c>
      <c r="AK8" s="71">
        <f t="shared" ref="AK8:AK38" si="21">CHOOSE(V8,Z8*SQRT(X8/3),SQRT(X8*((Z8^2)+((Y8^2)/3)-(Y8*Z8))))</f>
        <v>0.25148668593658707</v>
      </c>
      <c r="AL8" s="71">
        <f t="shared" si="8"/>
        <v>5.5656086818963476E-4</v>
      </c>
      <c r="AM8" s="71">
        <f t="shared" ref="AM8:AM39" si="22">CHOOSE(V8,(R8+Vd_rect)*Qrr*Fsw,(R8+Vd_rect)*Qrr*Fsw)</f>
        <v>1.4388000000000003</v>
      </c>
      <c r="AN8" s="188">
        <f t="shared" ref="AN8:AN38" si="23">Vd_rect*t_dead*Fsw*Z8</f>
        <v>3.0357865537616442E-2</v>
      </c>
      <c r="AO8" s="74">
        <f t="shared" ref="AO8:AO71" si="24">AL8+AM8+AN8</f>
        <v>1.4697144264058064</v>
      </c>
      <c r="AP8" s="73">
        <f t="shared" ref="AP8:AP38" si="25">(AA8^2)*R_cs</f>
        <v>1.660195771588399E-4</v>
      </c>
      <c r="AQ8" s="206">
        <f t="shared" si="9"/>
        <v>1.5273801098613269E-4</v>
      </c>
      <c r="AR8" s="206">
        <f t="shared" si="10"/>
        <v>8.8906410411183592E-2</v>
      </c>
      <c r="AS8" s="71">
        <f t="shared" si="11"/>
        <v>0.19999999999999998</v>
      </c>
      <c r="AT8" s="74">
        <f t="shared" si="12"/>
        <v>3.96E-5</v>
      </c>
      <c r="AU8" s="73">
        <f t="shared" ref="AU8:AU71" si="26">AP8+AO8+AI8+AD8+AS8+AT8+AQ8+AR8</f>
        <v>1.828221894900701</v>
      </c>
      <c r="AV8" s="71">
        <f t="shared" ref="AV8:AV71" si="27">R8*S8</f>
        <v>2.1</v>
      </c>
      <c r="AW8" s="74">
        <f t="shared" ref="AW8:AW71" si="28">(AV8/(AV8+AU8))*100</f>
        <v>53.459301846620477</v>
      </c>
    </row>
    <row r="9" spans="1:49" x14ac:dyDescent="0.25">
      <c r="N9" s="71" t="s">
        <v>198</v>
      </c>
      <c r="O9" s="71">
        <f>VIN_var</f>
        <v>12</v>
      </c>
      <c r="P9" t="s">
        <v>10</v>
      </c>
      <c r="Q9">
        <v>2</v>
      </c>
      <c r="R9" s="73">
        <f t="shared" si="0"/>
        <v>21</v>
      </c>
      <c r="S9" s="71">
        <f t="shared" si="1"/>
        <v>0.2</v>
      </c>
      <c r="T9" s="71">
        <f t="shared" si="2"/>
        <v>12</v>
      </c>
      <c r="U9" s="74">
        <f t="shared" si="3"/>
        <v>0.35000000000000003</v>
      </c>
      <c r="V9" s="73">
        <f>IF(Variable_Management!$B$20=3,2,IF((S9*R9/T9)&lt;((T9*(1-(T9/R9)))/(2*Lm*Fsw)),1,2))</f>
        <v>1</v>
      </c>
      <c r="W9" s="71">
        <f t="shared" si="13"/>
        <v>0.22360679774997896</v>
      </c>
      <c r="X9" s="74">
        <f t="shared" si="4"/>
        <v>0.29814239699997197</v>
      </c>
      <c r="Y9" s="73">
        <f t="shared" si="5"/>
        <v>1.3416407864998738</v>
      </c>
      <c r="Z9" s="71">
        <f t="shared" si="14"/>
        <v>1.3416407864998738</v>
      </c>
      <c r="AA9" s="71">
        <f t="shared" si="15"/>
        <v>0.55950828130597907</v>
      </c>
      <c r="AB9" s="71">
        <v>0</v>
      </c>
      <c r="AC9" s="71">
        <f t="shared" si="6"/>
        <v>4.3200833325295946E-4</v>
      </c>
      <c r="AD9" s="74">
        <f t="shared" si="16"/>
        <v>4.3200833325295946E-4</v>
      </c>
      <c r="AE9" s="73">
        <f t="shared" ref="AE9:AE72" si="29">U9*W9</f>
        <v>7.8262379212492642E-2</v>
      </c>
      <c r="AF9" s="71">
        <f t="shared" si="17"/>
        <v>0.36628415014847066</v>
      </c>
      <c r="AG9" s="71">
        <f t="shared" si="7"/>
        <v>1.1806438921198891E-3</v>
      </c>
      <c r="AH9" s="71">
        <f t="shared" si="18"/>
        <v>0.13734508366687567</v>
      </c>
      <c r="AI9" s="74">
        <f t="shared" si="19"/>
        <v>0.13852572755899556</v>
      </c>
      <c r="AJ9" s="73">
        <f t="shared" si="20"/>
        <v>0.1043498389499902</v>
      </c>
      <c r="AK9" s="71">
        <f t="shared" si="21"/>
        <v>0.42294850537622569</v>
      </c>
      <c r="AL9" s="71">
        <f t="shared" si="8"/>
        <v>1.5741918561598524E-3</v>
      </c>
      <c r="AM9" s="71">
        <f t="shared" si="22"/>
        <v>1.4388000000000003</v>
      </c>
      <c r="AN9" s="188">
        <f t="shared" si="23"/>
        <v>4.2932505167995967E-2</v>
      </c>
      <c r="AO9" s="74">
        <f t="shared" si="24"/>
        <v>1.4833066970241562</v>
      </c>
      <c r="AP9" s="73">
        <f t="shared" si="25"/>
        <v>4.6957427527495593E-4</v>
      </c>
      <c r="AQ9" s="206">
        <f t="shared" si="9"/>
        <v>4.3200833325295946E-4</v>
      </c>
      <c r="AR9" s="206">
        <f t="shared" si="10"/>
        <v>0.19756937728251639</v>
      </c>
      <c r="AS9" s="71">
        <f t="shared" si="11"/>
        <v>0.19999999999999998</v>
      </c>
      <c r="AT9" s="74">
        <f t="shared" si="12"/>
        <v>3.96E-5</v>
      </c>
      <c r="AU9" s="73">
        <f t="shared" si="26"/>
        <v>2.020774992807449</v>
      </c>
      <c r="AV9" s="71">
        <f t="shared" si="27"/>
        <v>4.2</v>
      </c>
      <c r="AW9" s="74">
        <f t="shared" si="28"/>
        <v>67.515703507297758</v>
      </c>
    </row>
    <row r="10" spans="1:49" x14ac:dyDescent="0.25">
      <c r="N10" s="71"/>
      <c r="O10" s="71"/>
      <c r="Q10">
        <v>3</v>
      </c>
      <c r="R10" s="73">
        <f t="shared" si="0"/>
        <v>21</v>
      </c>
      <c r="S10" s="71">
        <f t="shared" si="1"/>
        <v>0.30000000000000004</v>
      </c>
      <c r="T10" s="71">
        <f t="shared" si="2"/>
        <v>12</v>
      </c>
      <c r="U10" s="74">
        <f t="shared" si="3"/>
        <v>0.52500000000000002</v>
      </c>
      <c r="V10" s="73">
        <f>IF(Variable_Management!$B$20=3,2,IF((S10*R10/T10)&lt;((T10*(1-(T10/R10)))/(2*Lm*Fsw)),1,2))</f>
        <v>1</v>
      </c>
      <c r="W10" s="71">
        <f t="shared" si="13"/>
        <v>0.27386127875258309</v>
      </c>
      <c r="X10" s="74">
        <f t="shared" si="4"/>
        <v>0.36514837167011077</v>
      </c>
      <c r="Y10" s="73">
        <f t="shared" si="5"/>
        <v>1.6431676725154984</v>
      </c>
      <c r="Z10" s="71">
        <f t="shared" si="14"/>
        <v>1.6431676725154984</v>
      </c>
      <c r="AA10" s="71">
        <f t="shared" si="15"/>
        <v>0.75835920603657514</v>
      </c>
      <c r="AB10" s="71">
        <v>0</v>
      </c>
      <c r="AC10" s="71">
        <f t="shared" si="6"/>
        <v>7.9364998582498588E-4</v>
      </c>
      <c r="AD10" s="74">
        <f t="shared" si="16"/>
        <v>7.9364998582498588E-4</v>
      </c>
      <c r="AE10" s="73">
        <f t="shared" si="29"/>
        <v>0.14377717134510612</v>
      </c>
      <c r="AF10" s="71">
        <f t="shared" si="17"/>
        <v>0.49646263794703099</v>
      </c>
      <c r="AG10" s="71">
        <f t="shared" si="7"/>
        <v>2.1689813277204579E-3</v>
      </c>
      <c r="AH10" s="71">
        <f t="shared" si="18"/>
        <v>0.20601762550031347</v>
      </c>
      <c r="AI10" s="74">
        <f t="shared" si="19"/>
        <v>0.20818660682803392</v>
      </c>
      <c r="AJ10" s="73">
        <f t="shared" si="20"/>
        <v>0.19170289512680816</v>
      </c>
      <c r="AK10" s="71">
        <f t="shared" si="21"/>
        <v>0.57326567532262007</v>
      </c>
      <c r="AL10" s="71">
        <f t="shared" si="8"/>
        <v>2.8919751036272775E-3</v>
      </c>
      <c r="AM10" s="71">
        <f t="shared" si="22"/>
        <v>1.4388000000000003</v>
      </c>
      <c r="AN10" s="188">
        <f t="shared" si="23"/>
        <v>5.258136552049595E-2</v>
      </c>
      <c r="AO10" s="74">
        <f t="shared" si="24"/>
        <v>1.4942733406241235</v>
      </c>
      <c r="AP10" s="73">
        <f t="shared" si="25"/>
        <v>8.6266302807063691E-4</v>
      </c>
      <c r="AQ10" s="206">
        <f t="shared" si="9"/>
        <v>7.9364998582498588E-4</v>
      </c>
      <c r="AR10" s="206">
        <f t="shared" si="10"/>
        <v>0.31519314340114241</v>
      </c>
      <c r="AS10" s="71">
        <f t="shared" si="11"/>
        <v>0.19999999999999998</v>
      </c>
      <c r="AT10" s="74">
        <f t="shared" si="12"/>
        <v>3.96E-5</v>
      </c>
      <c r="AU10" s="73">
        <f t="shared" si="26"/>
        <v>2.2201426538530207</v>
      </c>
      <c r="AV10" s="71">
        <f t="shared" si="27"/>
        <v>6.3000000000000007</v>
      </c>
      <c r="AW10" s="74">
        <f t="shared" si="28"/>
        <v>73.942423923512408</v>
      </c>
    </row>
    <row r="11" spans="1:49" x14ac:dyDescent="0.25">
      <c r="N11" s="71" t="s">
        <v>268</v>
      </c>
      <c r="O11" s="71">
        <v>150</v>
      </c>
      <c r="Q11">
        <v>4</v>
      </c>
      <c r="R11" s="73">
        <f t="shared" si="0"/>
        <v>21</v>
      </c>
      <c r="S11" s="71">
        <f t="shared" si="1"/>
        <v>0.4</v>
      </c>
      <c r="T11" s="71">
        <f t="shared" si="2"/>
        <v>12</v>
      </c>
      <c r="U11" s="74">
        <f t="shared" si="3"/>
        <v>0.70000000000000007</v>
      </c>
      <c r="V11" s="73">
        <f>IF(Variable_Management!$B$20=3,2,IF((S11*R11/T11)&lt;((T11*(1-(T11/R11)))/(2*Lm*Fsw)),1,2))</f>
        <v>1</v>
      </c>
      <c r="W11" s="71">
        <f t="shared" si="13"/>
        <v>0.31622776601683794</v>
      </c>
      <c r="X11" s="74">
        <f t="shared" si="4"/>
        <v>0.4216370213557839</v>
      </c>
      <c r="Y11" s="73">
        <f t="shared" si="5"/>
        <v>1.8973665961010275</v>
      </c>
      <c r="Z11" s="71">
        <f t="shared" si="14"/>
        <v>1.8973665961010275</v>
      </c>
      <c r="AA11" s="71">
        <f t="shared" si="15"/>
        <v>0.94097701610992923</v>
      </c>
      <c r="AB11" s="71">
        <v>0</v>
      </c>
      <c r="AC11" s="71">
        <f t="shared" si="6"/>
        <v>1.2219040878890615E-3</v>
      </c>
      <c r="AD11" s="74">
        <f t="shared" si="16"/>
        <v>1.2219040878890615E-3</v>
      </c>
      <c r="AE11" s="73">
        <f t="shared" si="29"/>
        <v>0.22135943621178658</v>
      </c>
      <c r="AF11" s="71">
        <f t="shared" si="17"/>
        <v>0.6160140576482046</v>
      </c>
      <c r="AG11" s="71">
        <f t="shared" si="7"/>
        <v>3.339365209137809E-3</v>
      </c>
      <c r="AH11" s="71">
        <f t="shared" si="18"/>
        <v>0.27469016733375134</v>
      </c>
      <c r="AI11" s="74">
        <f t="shared" si="19"/>
        <v>0.27802953254288915</v>
      </c>
      <c r="AJ11" s="73">
        <f t="shared" si="20"/>
        <v>0.29514591494904874</v>
      </c>
      <c r="AK11" s="71">
        <f t="shared" si="21"/>
        <v>0.71131176401556906</v>
      </c>
      <c r="AL11" s="71">
        <f t="shared" si="8"/>
        <v>4.4524869455170773E-3</v>
      </c>
      <c r="AM11" s="71">
        <f t="shared" si="22"/>
        <v>1.4388000000000003</v>
      </c>
      <c r="AN11" s="188">
        <f t="shared" si="23"/>
        <v>6.0715731075232884E-2</v>
      </c>
      <c r="AO11" s="74">
        <f t="shared" si="24"/>
        <v>1.5039682180207503</v>
      </c>
      <c r="AP11" s="73">
        <f t="shared" si="25"/>
        <v>1.328156617270719E-3</v>
      </c>
      <c r="AQ11" s="206">
        <f t="shared" si="9"/>
        <v>1.2219040878890615E-3</v>
      </c>
      <c r="AR11" s="206">
        <f t="shared" si="10"/>
        <v>0.43904211922711073</v>
      </c>
      <c r="AS11" s="71">
        <f t="shared" si="11"/>
        <v>0.19999999999999998</v>
      </c>
      <c r="AT11" s="74">
        <f t="shared" si="12"/>
        <v>3.96E-5</v>
      </c>
      <c r="AU11" s="73">
        <f t="shared" si="26"/>
        <v>2.424851434583799</v>
      </c>
      <c r="AV11" s="71">
        <f t="shared" si="27"/>
        <v>8.4</v>
      </c>
      <c r="AW11" s="74">
        <f t="shared" si="28"/>
        <v>77.599217418940668</v>
      </c>
    </row>
    <row r="12" spans="1:49" x14ac:dyDescent="0.25">
      <c r="N12" s="71" t="s">
        <v>269</v>
      </c>
      <c r="O12" s="71">
        <f>IOUT/(O11)</f>
        <v>0.1</v>
      </c>
      <c r="Q12">
        <v>5</v>
      </c>
      <c r="R12" s="73">
        <f t="shared" si="0"/>
        <v>21</v>
      </c>
      <c r="S12" s="71">
        <f t="shared" si="1"/>
        <v>0.5</v>
      </c>
      <c r="T12" s="71">
        <f t="shared" si="2"/>
        <v>12</v>
      </c>
      <c r="U12" s="74">
        <f t="shared" si="3"/>
        <v>0.875</v>
      </c>
      <c r="V12" s="73">
        <f>IF(Variable_Management!$B$20=3,2,IF((S12*R12/T12)&lt;((T12*(1-(T12/R12)))/(2*Lm*Fsw)),1,2))</f>
        <v>1</v>
      </c>
      <c r="W12" s="71">
        <f t="shared" si="13"/>
        <v>0.35355339059327379</v>
      </c>
      <c r="X12" s="74">
        <f t="shared" si="4"/>
        <v>0.47140452079103173</v>
      </c>
      <c r="Y12" s="73">
        <f t="shared" si="5"/>
        <v>2.1213203435596428</v>
      </c>
      <c r="Z12" s="71">
        <f t="shared" si="14"/>
        <v>2.1213203435596428</v>
      </c>
      <c r="AA12" s="71">
        <f t="shared" si="15"/>
        <v>1.1124013965635151</v>
      </c>
      <c r="AB12" s="71">
        <v>0</v>
      </c>
      <c r="AC12" s="71">
        <f t="shared" si="6"/>
        <v>1.7076628765655131E-3</v>
      </c>
      <c r="AD12" s="74">
        <f t="shared" si="16"/>
        <v>1.7076628765655131E-3</v>
      </c>
      <c r="AE12" s="73">
        <f t="shared" si="29"/>
        <v>0.30935921676911454</v>
      </c>
      <c r="AF12" s="71">
        <f t="shared" si="17"/>
        <v>0.72823765756098524</v>
      </c>
      <c r="AG12" s="71">
        <f t="shared" si="7"/>
        <v>4.6669047558312157E-3</v>
      </c>
      <c r="AH12" s="71">
        <f t="shared" si="18"/>
        <v>0.34336270916718914</v>
      </c>
      <c r="AI12" s="74">
        <f t="shared" si="19"/>
        <v>0.34802961392302034</v>
      </c>
      <c r="AJ12" s="73">
        <f t="shared" si="20"/>
        <v>0.41247895569215276</v>
      </c>
      <c r="AK12" s="71">
        <f t="shared" si="21"/>
        <v>0.84089641525371461</v>
      </c>
      <c r="AL12" s="71">
        <f t="shared" si="8"/>
        <v>6.2225396744416198E-3</v>
      </c>
      <c r="AM12" s="71">
        <f t="shared" si="22"/>
        <v>1.4388000000000003</v>
      </c>
      <c r="AN12" s="188">
        <f t="shared" si="23"/>
        <v>6.7882250993908572E-2</v>
      </c>
      <c r="AO12" s="74">
        <f t="shared" si="24"/>
        <v>1.5129047906683504</v>
      </c>
      <c r="AP12" s="73">
        <f t="shared" si="25"/>
        <v>1.8561553006146883E-3</v>
      </c>
      <c r="AQ12" s="206">
        <f t="shared" si="9"/>
        <v>1.7076628765655131E-3</v>
      </c>
      <c r="AR12" s="206">
        <f t="shared" si="10"/>
        <v>0.56773611423734271</v>
      </c>
      <c r="AS12" s="71">
        <f t="shared" si="11"/>
        <v>0.19999999999999998</v>
      </c>
      <c r="AT12" s="74">
        <f t="shared" si="12"/>
        <v>3.96E-5</v>
      </c>
      <c r="AU12" s="73">
        <f t="shared" si="26"/>
        <v>2.6339815998824592</v>
      </c>
      <c r="AV12" s="71">
        <f t="shared" si="27"/>
        <v>10.5</v>
      </c>
      <c r="AW12" s="74">
        <f t="shared" si="28"/>
        <v>79.945292447295415</v>
      </c>
    </row>
    <row r="13" spans="1:49" x14ac:dyDescent="0.25">
      <c r="Q13">
        <v>6</v>
      </c>
      <c r="R13" s="73">
        <f t="shared" si="0"/>
        <v>21</v>
      </c>
      <c r="S13" s="71">
        <f t="shared" si="1"/>
        <v>0.60000000000000009</v>
      </c>
      <c r="T13" s="71">
        <f t="shared" si="2"/>
        <v>12</v>
      </c>
      <c r="U13" s="74">
        <f t="shared" si="3"/>
        <v>1.05</v>
      </c>
      <c r="V13" s="73">
        <f>IF(Variable_Management!$B$20=3,2,IF((S13*R13/T13)&lt;((T13*(1-(T13/R13)))/(2*Lm*Fsw)),1,2))</f>
        <v>1</v>
      </c>
      <c r="W13" s="71">
        <f t="shared" si="13"/>
        <v>0.3872983346207417</v>
      </c>
      <c r="X13" s="74">
        <f t="shared" si="4"/>
        <v>0.51639777949432231</v>
      </c>
      <c r="Y13" s="73">
        <f t="shared" si="5"/>
        <v>2.3237900077244502</v>
      </c>
      <c r="Z13" s="71">
        <f t="shared" si="14"/>
        <v>2.3237900077244502</v>
      </c>
      <c r="AA13" s="71">
        <f t="shared" si="15"/>
        <v>1.2754030756616181</v>
      </c>
      <c r="AB13" s="71">
        <v>0</v>
      </c>
      <c r="AC13" s="71">
        <f t="shared" si="6"/>
        <v>2.2447811474618192E-3</v>
      </c>
      <c r="AD13" s="74">
        <f t="shared" si="16"/>
        <v>2.2447811474618192E-3</v>
      </c>
      <c r="AE13" s="73">
        <f t="shared" si="29"/>
        <v>0.40666325135177883</v>
      </c>
      <c r="AF13" s="71">
        <f t="shared" si="17"/>
        <v>0.8349473051141223</v>
      </c>
      <c r="AG13" s="71">
        <f t="shared" si="7"/>
        <v>6.13480562039255E-3</v>
      </c>
      <c r="AH13" s="71">
        <f t="shared" si="18"/>
        <v>0.41203525100062693</v>
      </c>
      <c r="AI13" s="74">
        <f t="shared" si="19"/>
        <v>0.41817005662101947</v>
      </c>
      <c r="AJ13" s="73">
        <f t="shared" si="20"/>
        <v>0.54221766846903841</v>
      </c>
      <c r="AK13" s="71">
        <f t="shared" si="21"/>
        <v>0.96411410273358211</v>
      </c>
      <c r="AL13" s="71">
        <f t="shared" si="8"/>
        <v>8.179740827190066E-3</v>
      </c>
      <c r="AM13" s="71">
        <f t="shared" si="22"/>
        <v>1.4388000000000003</v>
      </c>
      <c r="AN13" s="188">
        <f t="shared" si="23"/>
        <v>7.4361280247182415E-2</v>
      </c>
      <c r="AO13" s="74">
        <f t="shared" si="24"/>
        <v>1.5213410210743727</v>
      </c>
      <c r="AP13" s="73">
        <f t="shared" si="25"/>
        <v>2.439979508110673E-3</v>
      </c>
      <c r="AQ13" s="206">
        <f t="shared" si="9"/>
        <v>2.2447811474618192E-3</v>
      </c>
      <c r="AR13" s="206">
        <f t="shared" si="10"/>
        <v>0.70042770569049195</v>
      </c>
      <c r="AS13" s="71">
        <f t="shared" si="11"/>
        <v>0.19999999999999998</v>
      </c>
      <c r="AT13" s="74">
        <f t="shared" si="12"/>
        <v>3.96E-5</v>
      </c>
      <c r="AU13" s="73">
        <f t="shared" si="26"/>
        <v>2.8469079251889182</v>
      </c>
      <c r="AV13" s="71">
        <f t="shared" si="27"/>
        <v>12.600000000000001</v>
      </c>
      <c r="AW13" s="74">
        <f t="shared" si="28"/>
        <v>81.569722957003378</v>
      </c>
    </row>
    <row r="14" spans="1:49" x14ac:dyDescent="0.25">
      <c r="Q14">
        <v>7</v>
      </c>
      <c r="R14" s="73">
        <f t="shared" si="0"/>
        <v>21</v>
      </c>
      <c r="S14" s="71">
        <f t="shared" si="1"/>
        <v>0.70000000000000007</v>
      </c>
      <c r="T14" s="71">
        <f t="shared" si="2"/>
        <v>12</v>
      </c>
      <c r="U14" s="74">
        <f t="shared" si="3"/>
        <v>1.2250000000000001</v>
      </c>
      <c r="V14" s="73">
        <f>IF(Variable_Management!$B$20=3,2,IF((S14*R14/T14)&lt;((T14*(1-(T14/R14)))/(2*Lm*Fsw)),1,2))</f>
        <v>1</v>
      </c>
      <c r="W14" s="71">
        <f t="shared" si="13"/>
        <v>0.41833001326703778</v>
      </c>
      <c r="X14" s="74">
        <f t="shared" si="4"/>
        <v>0.55777335102271697</v>
      </c>
      <c r="Y14" s="73">
        <f t="shared" si="5"/>
        <v>2.5099800796022267</v>
      </c>
      <c r="Z14" s="71">
        <f t="shared" si="14"/>
        <v>2.5099800796022267</v>
      </c>
      <c r="AA14" s="71">
        <f t="shared" si="15"/>
        <v>1.4317182212322663</v>
      </c>
      <c r="AB14" s="71">
        <v>0</v>
      </c>
      <c r="AC14" s="71">
        <f t="shared" si="6"/>
        <v>2.8287475497117088E-3</v>
      </c>
      <c r="AD14" s="74">
        <f t="shared" si="16"/>
        <v>2.8287475497117088E-3</v>
      </c>
      <c r="AE14" s="73">
        <f t="shared" si="29"/>
        <v>0.51245426625212132</v>
      </c>
      <c r="AF14" s="71">
        <f t="shared" si="17"/>
        <v>0.93727958894919894</v>
      </c>
      <c r="AG14" s="71">
        <f t="shared" si="7"/>
        <v>7.7307386451748589E-3</v>
      </c>
      <c r="AH14" s="71">
        <f t="shared" si="18"/>
        <v>0.48070779283406478</v>
      </c>
      <c r="AI14" s="74">
        <f t="shared" si="19"/>
        <v>0.48843853147923966</v>
      </c>
      <c r="AJ14" s="73">
        <f t="shared" si="20"/>
        <v>0.68327235500282835</v>
      </c>
      <c r="AK14" s="71">
        <f t="shared" si="21"/>
        <v>1.0822772459715235</v>
      </c>
      <c r="AL14" s="71">
        <f t="shared" si="8"/>
        <v>1.030765152689981E-2</v>
      </c>
      <c r="AM14" s="71">
        <f t="shared" si="22"/>
        <v>1.4388000000000003</v>
      </c>
      <c r="AN14" s="188">
        <f t="shared" si="23"/>
        <v>8.0319362547271261E-2</v>
      </c>
      <c r="AO14" s="74">
        <f t="shared" si="24"/>
        <v>1.5294270140741715</v>
      </c>
      <c r="AP14" s="73">
        <f t="shared" si="25"/>
        <v>3.0747255975127272E-3</v>
      </c>
      <c r="AQ14" s="206">
        <f t="shared" si="9"/>
        <v>2.8287475497117088E-3</v>
      </c>
      <c r="AR14" s="206">
        <f t="shared" si="10"/>
        <v>0.8365386633524422</v>
      </c>
      <c r="AS14" s="71">
        <f t="shared" si="11"/>
        <v>0.19999999999999998</v>
      </c>
      <c r="AT14" s="74">
        <f t="shared" si="12"/>
        <v>3.96E-5</v>
      </c>
      <c r="AU14" s="73">
        <f t="shared" si="26"/>
        <v>3.0631760296027895</v>
      </c>
      <c r="AV14" s="71">
        <f t="shared" si="27"/>
        <v>14.700000000000001</v>
      </c>
      <c r="AW14" s="74">
        <f t="shared" si="28"/>
        <v>82.75547106836116</v>
      </c>
    </row>
    <row r="15" spans="1:49" x14ac:dyDescent="0.25">
      <c r="O15">
        <f>0.205*2.5/(Lm*Fsw)</f>
        <v>0.25624999999999998</v>
      </c>
      <c r="Q15">
        <v>8</v>
      </c>
      <c r="R15" s="73">
        <f t="shared" si="0"/>
        <v>21</v>
      </c>
      <c r="S15" s="71">
        <f t="shared" si="1"/>
        <v>0.8</v>
      </c>
      <c r="T15" s="71">
        <f t="shared" si="2"/>
        <v>12</v>
      </c>
      <c r="U15" s="74">
        <f t="shared" si="3"/>
        <v>1.4000000000000001</v>
      </c>
      <c r="V15" s="73">
        <f>IF(Variable_Management!$B$20=3,2,IF((S15*R15/T15)&lt;((T15*(1-(T15/R15)))/(2*Lm*Fsw)),1,2))</f>
        <v>2</v>
      </c>
      <c r="W15" s="71">
        <f t="shared" si="13"/>
        <v>0.4285714285714286</v>
      </c>
      <c r="X15" s="74">
        <f t="shared" si="4"/>
        <v>0.5714285714285714</v>
      </c>
      <c r="Y15" s="73">
        <f t="shared" si="5"/>
        <v>2.5714285714285716</v>
      </c>
      <c r="Z15" s="71">
        <f t="shared" si="14"/>
        <v>2.6857142857142859</v>
      </c>
      <c r="AA15" s="71">
        <f t="shared" si="15"/>
        <v>1.5846199570128054</v>
      </c>
      <c r="AB15" s="71">
        <v>0</v>
      </c>
      <c r="AC15" s="71">
        <f t="shared" si="6"/>
        <v>3.4652081632653058E-3</v>
      </c>
      <c r="AD15" s="74">
        <f t="shared" si="16"/>
        <v>3.4652081632653058E-3</v>
      </c>
      <c r="AE15" s="73">
        <f t="shared" si="29"/>
        <v>0.60000000000000009</v>
      </c>
      <c r="AF15" s="71">
        <f t="shared" si="17"/>
        <v>1.03737727153555</v>
      </c>
      <c r="AG15" s="71">
        <f t="shared" si="7"/>
        <v>9.4701341107871727E-3</v>
      </c>
      <c r="AH15" s="71">
        <f t="shared" si="18"/>
        <v>0.54938033466750269</v>
      </c>
      <c r="AI15" s="74">
        <f t="shared" si="19"/>
        <v>0.55885046877828981</v>
      </c>
      <c r="AJ15" s="73">
        <f t="shared" si="20"/>
        <v>0.8</v>
      </c>
      <c r="AK15" s="71">
        <f t="shared" si="21"/>
        <v>1.1978600939444985</v>
      </c>
      <c r="AL15" s="71">
        <f t="shared" si="8"/>
        <v>1.2626845481049562E-2</v>
      </c>
      <c r="AM15" s="71">
        <f t="shared" si="22"/>
        <v>1.4388000000000003</v>
      </c>
      <c r="AN15" s="188">
        <f t="shared" si="23"/>
        <v>8.5942857142857154E-2</v>
      </c>
      <c r="AO15" s="74">
        <f t="shared" si="24"/>
        <v>1.537369702623907</v>
      </c>
      <c r="AP15" s="73">
        <f t="shared" si="25"/>
        <v>3.7665306122448977E-3</v>
      </c>
      <c r="AQ15" s="206">
        <f t="shared" si="9"/>
        <v>3.4652081632653058E-3</v>
      </c>
      <c r="AR15" s="206">
        <f t="shared" si="10"/>
        <v>0.88447929873185172</v>
      </c>
      <c r="AS15" s="71">
        <f t="shared" si="11"/>
        <v>0.19999999999999998</v>
      </c>
      <c r="AT15" s="74">
        <f t="shared" si="12"/>
        <v>3.96E-5</v>
      </c>
      <c r="AU15" s="73">
        <f t="shared" si="26"/>
        <v>3.1914360170728235</v>
      </c>
      <c r="AV15" s="71">
        <f t="shared" si="27"/>
        <v>16.8</v>
      </c>
      <c r="AW15" s="74">
        <f t="shared" si="28"/>
        <v>84.035984136670734</v>
      </c>
    </row>
    <row r="16" spans="1:49" x14ac:dyDescent="0.25">
      <c r="Q16">
        <v>9</v>
      </c>
      <c r="R16" s="73">
        <f t="shared" si="0"/>
        <v>21</v>
      </c>
      <c r="S16" s="71">
        <f t="shared" si="1"/>
        <v>0.9</v>
      </c>
      <c r="T16" s="71">
        <f t="shared" si="2"/>
        <v>12</v>
      </c>
      <c r="U16" s="74">
        <f t="shared" si="3"/>
        <v>1.5750000000000002</v>
      </c>
      <c r="V16" s="73">
        <f>IF(Variable_Management!$B$20=3,2,IF((S16*R16/T16)&lt;((T16*(1-(T16/R16)))/(2*Lm*Fsw)),1,2))</f>
        <v>2</v>
      </c>
      <c r="W16" s="71">
        <f t="shared" si="13"/>
        <v>0.4285714285714286</v>
      </c>
      <c r="X16" s="74">
        <f t="shared" si="4"/>
        <v>0.5714285714285714</v>
      </c>
      <c r="Y16" s="73">
        <f t="shared" si="5"/>
        <v>2.5714285714285716</v>
      </c>
      <c r="Z16" s="71">
        <f t="shared" ref="Z16:Z79" si="30">CHOOSE(V16,Y16,U16+(0.5*Y16))</f>
        <v>2.8607142857142858</v>
      </c>
      <c r="AA16" s="71">
        <f t="shared" ref="AA16:AA79" si="31">CHOOSE(V16,Z16*SQRT((W16+X16)/3),SQRT((U16^2)+((Y16^2)/12)))</f>
        <v>1.7411620855518495</v>
      </c>
      <c r="AB16" s="71">
        <v>0</v>
      </c>
      <c r="AC16" s="71">
        <f t="shared" si="6"/>
        <v>4.1836706632653068E-3</v>
      </c>
      <c r="AD16" s="74">
        <f t="shared" si="16"/>
        <v>4.1836706632653068E-3</v>
      </c>
      <c r="AE16" s="73">
        <f t="shared" si="29"/>
        <v>0.67500000000000016</v>
      </c>
      <c r="AF16" s="71">
        <f t="shared" si="17"/>
        <v>1.1398581506040748</v>
      </c>
      <c r="AG16" s="71">
        <f t="shared" si="7"/>
        <v>1.1433634110787167E-2</v>
      </c>
      <c r="AH16" s="71">
        <f t="shared" si="18"/>
        <v>0.61805287650094054</v>
      </c>
      <c r="AI16" s="74">
        <f t="shared" si="19"/>
        <v>0.62948651061172767</v>
      </c>
      <c r="AJ16" s="73">
        <f t="shared" si="20"/>
        <v>0.9</v>
      </c>
      <c r="AK16" s="71">
        <f t="shared" si="21"/>
        <v>1.3161948201785032</v>
      </c>
      <c r="AL16" s="71">
        <f t="shared" si="8"/>
        <v>1.5244845481049558E-2</v>
      </c>
      <c r="AM16" s="71">
        <f t="shared" si="22"/>
        <v>1.4388000000000003</v>
      </c>
      <c r="AN16" s="188">
        <f t="shared" si="23"/>
        <v>9.1542857142857148E-2</v>
      </c>
      <c r="AO16" s="74">
        <f t="shared" si="24"/>
        <v>1.5455877026239071</v>
      </c>
      <c r="AP16" s="73">
        <f t="shared" si="25"/>
        <v>4.547468112244899E-3</v>
      </c>
      <c r="AQ16" s="206">
        <f t="shared" si="9"/>
        <v>4.1836706632653068E-3</v>
      </c>
      <c r="AR16" s="206">
        <f t="shared" si="10"/>
        <v>0.88447929873185172</v>
      </c>
      <c r="AS16" s="71">
        <f t="shared" si="11"/>
        <v>0.19999999999999998</v>
      </c>
      <c r="AT16" s="74">
        <f t="shared" si="12"/>
        <v>3.96E-5</v>
      </c>
      <c r="AU16" s="73">
        <f t="shared" si="26"/>
        <v>3.2725079214062616</v>
      </c>
      <c r="AV16" s="71">
        <f t="shared" si="27"/>
        <v>18.900000000000002</v>
      </c>
      <c r="AW16" s="74">
        <f t="shared" si="28"/>
        <v>85.240695671386604</v>
      </c>
    </row>
    <row r="17" spans="17:49" x14ac:dyDescent="0.25">
      <c r="Q17">
        <v>10</v>
      </c>
      <c r="R17" s="73">
        <f t="shared" si="0"/>
        <v>21</v>
      </c>
      <c r="S17" s="71">
        <f t="shared" si="1"/>
        <v>1</v>
      </c>
      <c r="T17" s="71">
        <f t="shared" si="2"/>
        <v>12</v>
      </c>
      <c r="U17" s="74">
        <f t="shared" si="3"/>
        <v>1.75</v>
      </c>
      <c r="V17" s="73">
        <f>IF(Variable_Management!$B$20=3,2,IF((S17*R17/T17)&lt;((T17*(1-(T17/R17)))/(2*Lm*Fsw)),1,2))</f>
        <v>2</v>
      </c>
      <c r="W17" s="71">
        <f t="shared" si="13"/>
        <v>0.4285714285714286</v>
      </c>
      <c r="X17" s="74">
        <f t="shared" si="4"/>
        <v>0.5714285714285714</v>
      </c>
      <c r="Y17" s="73">
        <f t="shared" si="5"/>
        <v>2.5714285714285716</v>
      </c>
      <c r="Z17" s="71">
        <f t="shared" si="30"/>
        <v>3.0357142857142856</v>
      </c>
      <c r="AA17" s="71">
        <f t="shared" si="31"/>
        <v>1.9009261974530376</v>
      </c>
      <c r="AB17" s="71">
        <v>0</v>
      </c>
      <c r="AC17" s="71">
        <f t="shared" si="6"/>
        <v>4.9866581632653055E-3</v>
      </c>
      <c r="AD17" s="74">
        <f t="shared" si="16"/>
        <v>4.9866581632653055E-3</v>
      </c>
      <c r="AE17" s="73">
        <f t="shared" si="29"/>
        <v>0.75</v>
      </c>
      <c r="AF17" s="71">
        <f t="shared" si="17"/>
        <v>1.2444483129075878</v>
      </c>
      <c r="AG17" s="71">
        <f t="shared" si="7"/>
        <v>1.3628134110787166E-2</v>
      </c>
      <c r="AH17" s="71">
        <f t="shared" si="18"/>
        <v>0.68672541833437828</v>
      </c>
      <c r="AI17" s="74">
        <f t="shared" si="19"/>
        <v>0.70035355244516539</v>
      </c>
      <c r="AJ17" s="73">
        <f t="shared" si="20"/>
        <v>1</v>
      </c>
      <c r="AK17" s="71">
        <f t="shared" si="21"/>
        <v>1.4369651368995429</v>
      </c>
      <c r="AL17" s="71">
        <f t="shared" si="8"/>
        <v>1.8170845481049556E-2</v>
      </c>
      <c r="AM17" s="71">
        <f t="shared" si="22"/>
        <v>1.4388000000000003</v>
      </c>
      <c r="AN17" s="188">
        <f t="shared" si="23"/>
        <v>9.7142857142857142E-2</v>
      </c>
      <c r="AO17" s="74">
        <f t="shared" si="24"/>
        <v>1.5541137026239071</v>
      </c>
      <c r="AP17" s="73">
        <f t="shared" si="25"/>
        <v>5.4202806122448976E-3</v>
      </c>
      <c r="AQ17" s="206">
        <f t="shared" si="9"/>
        <v>4.9866581632653055E-3</v>
      </c>
      <c r="AR17" s="206">
        <f t="shared" si="10"/>
        <v>0.88447929873185172</v>
      </c>
      <c r="AS17" s="71">
        <f t="shared" si="11"/>
        <v>0.19999999999999998</v>
      </c>
      <c r="AT17" s="74">
        <f t="shared" si="12"/>
        <v>3.96E-5</v>
      </c>
      <c r="AU17" s="73">
        <f t="shared" si="26"/>
        <v>3.3543797507397004</v>
      </c>
      <c r="AV17" s="71">
        <f t="shared" si="27"/>
        <v>21</v>
      </c>
      <c r="AW17" s="74">
        <f t="shared" si="28"/>
        <v>86.226790478464892</v>
      </c>
    </row>
    <row r="18" spans="17:49" x14ac:dyDescent="0.25">
      <c r="Q18">
        <v>11</v>
      </c>
      <c r="R18" s="73">
        <f t="shared" si="0"/>
        <v>21</v>
      </c>
      <c r="S18" s="71">
        <f t="shared" si="1"/>
        <v>1.1000000000000001</v>
      </c>
      <c r="T18" s="71">
        <f t="shared" si="2"/>
        <v>12</v>
      </c>
      <c r="U18" s="74">
        <f t="shared" si="3"/>
        <v>1.925</v>
      </c>
      <c r="V18" s="73">
        <f>IF(Variable_Management!$B$20=3,2,IF((S18*R18/T18)&lt;((T18*(1-(T18/R18)))/(2*Lm*Fsw)),1,2))</f>
        <v>2</v>
      </c>
      <c r="W18" s="71">
        <f t="shared" si="13"/>
        <v>0.4285714285714286</v>
      </c>
      <c r="X18" s="74">
        <f t="shared" si="4"/>
        <v>0.5714285714285714</v>
      </c>
      <c r="Y18" s="73">
        <f t="shared" si="5"/>
        <v>2.5714285714285716</v>
      </c>
      <c r="Z18" s="71">
        <f t="shared" si="30"/>
        <v>3.2107142857142859</v>
      </c>
      <c r="AA18" s="71">
        <f t="shared" si="31"/>
        <v>2.0631639314807888</v>
      </c>
      <c r="AB18" s="71">
        <v>0</v>
      </c>
      <c r="AC18" s="71">
        <f t="shared" si="6"/>
        <v>5.8741706632653053E-3</v>
      </c>
      <c r="AD18" s="74">
        <f t="shared" si="16"/>
        <v>5.8741706632653053E-3</v>
      </c>
      <c r="AE18" s="73">
        <f t="shared" si="29"/>
        <v>0.82500000000000007</v>
      </c>
      <c r="AF18" s="71">
        <f t="shared" si="17"/>
        <v>1.3506578410162</v>
      </c>
      <c r="AG18" s="71">
        <f t="shared" si="7"/>
        <v>1.6053634110787175E-2</v>
      </c>
      <c r="AH18" s="71">
        <f t="shared" si="18"/>
        <v>0.75539796016781624</v>
      </c>
      <c r="AI18" s="74">
        <f t="shared" si="19"/>
        <v>0.77145159427860344</v>
      </c>
      <c r="AJ18" s="73">
        <f t="shared" si="20"/>
        <v>1.0999999999999999</v>
      </c>
      <c r="AK18" s="71">
        <f t="shared" si="21"/>
        <v>1.5596053361875635</v>
      </c>
      <c r="AL18" s="71">
        <f t="shared" si="8"/>
        <v>2.140484548104956E-2</v>
      </c>
      <c r="AM18" s="71">
        <f t="shared" si="22"/>
        <v>1.4388000000000003</v>
      </c>
      <c r="AN18" s="188">
        <f t="shared" si="23"/>
        <v>0.10274285714285715</v>
      </c>
      <c r="AO18" s="74">
        <f t="shared" si="24"/>
        <v>1.5629477026239071</v>
      </c>
      <c r="AP18" s="73">
        <f t="shared" si="25"/>
        <v>6.384968112244897E-3</v>
      </c>
      <c r="AQ18" s="206">
        <f t="shared" si="9"/>
        <v>5.8741706632653053E-3</v>
      </c>
      <c r="AR18" s="206">
        <f t="shared" si="10"/>
        <v>0.88447929873185172</v>
      </c>
      <c r="AS18" s="71">
        <f t="shared" si="11"/>
        <v>0.19999999999999998</v>
      </c>
      <c r="AT18" s="74">
        <f t="shared" si="12"/>
        <v>3.96E-5</v>
      </c>
      <c r="AU18" s="73">
        <f t="shared" si="26"/>
        <v>3.4370515050731383</v>
      </c>
      <c r="AV18" s="71">
        <f t="shared" si="27"/>
        <v>23.1</v>
      </c>
      <c r="AW18" s="74">
        <f t="shared" si="28"/>
        <v>87.048103273959924</v>
      </c>
    </row>
    <row r="19" spans="17:49" x14ac:dyDescent="0.25">
      <c r="Q19">
        <v>12</v>
      </c>
      <c r="R19" s="73">
        <f t="shared" si="0"/>
        <v>21</v>
      </c>
      <c r="S19" s="71">
        <f t="shared" si="1"/>
        <v>1.2000000000000002</v>
      </c>
      <c r="T19" s="71">
        <f t="shared" si="2"/>
        <v>12</v>
      </c>
      <c r="U19" s="74">
        <f t="shared" si="3"/>
        <v>2.1</v>
      </c>
      <c r="V19" s="73">
        <f>IF(Variable_Management!$B$20=3,2,IF((S19*R19/T19)&lt;((T19*(1-(T19/R19)))/(2*Lm*Fsw)),1,2))</f>
        <v>2</v>
      </c>
      <c r="W19" s="71">
        <f t="shared" si="13"/>
        <v>0.4285714285714286</v>
      </c>
      <c r="X19" s="74">
        <f t="shared" si="4"/>
        <v>0.5714285714285714</v>
      </c>
      <c r="Y19" s="73">
        <f t="shared" si="5"/>
        <v>2.5714285714285716</v>
      </c>
      <c r="Z19" s="71">
        <f t="shared" si="30"/>
        <v>3.3857142857142861</v>
      </c>
      <c r="AA19" s="71">
        <f t="shared" si="31"/>
        <v>2.2273348217462199</v>
      </c>
      <c r="AB19" s="71">
        <v>0</v>
      </c>
      <c r="AC19" s="71">
        <f t="shared" si="6"/>
        <v>6.8462081632653061E-3</v>
      </c>
      <c r="AD19" s="74">
        <f t="shared" si="16"/>
        <v>6.8462081632653061E-3</v>
      </c>
      <c r="AE19" s="73">
        <f t="shared" si="29"/>
        <v>0.90000000000000013</v>
      </c>
      <c r="AF19" s="71">
        <f t="shared" si="17"/>
        <v>1.4581329169518611</v>
      </c>
      <c r="AG19" s="71">
        <f t="shared" si="7"/>
        <v>1.8710134110787178E-2</v>
      </c>
      <c r="AH19" s="71">
        <f t="shared" si="18"/>
        <v>0.82407050200125387</v>
      </c>
      <c r="AI19" s="74">
        <f t="shared" si="19"/>
        <v>0.84278063611204102</v>
      </c>
      <c r="AJ19" s="73">
        <f t="shared" si="20"/>
        <v>1.2</v>
      </c>
      <c r="AK19" s="71">
        <f t="shared" si="21"/>
        <v>1.6837068642328223</v>
      </c>
      <c r="AL19" s="71">
        <f t="shared" si="8"/>
        <v>2.4946845481049567E-2</v>
      </c>
      <c r="AM19" s="71">
        <f t="shared" si="22"/>
        <v>1.4388000000000003</v>
      </c>
      <c r="AN19" s="188">
        <f t="shared" si="23"/>
        <v>0.10834285714285716</v>
      </c>
      <c r="AO19" s="74">
        <f t="shared" si="24"/>
        <v>1.5720897026239069</v>
      </c>
      <c r="AP19" s="73">
        <f t="shared" si="25"/>
        <v>7.441530612244898E-3</v>
      </c>
      <c r="AQ19" s="206">
        <f t="shared" si="9"/>
        <v>6.8462081632653061E-3</v>
      </c>
      <c r="AR19" s="206">
        <f t="shared" si="10"/>
        <v>0.88447929873185172</v>
      </c>
      <c r="AS19" s="71">
        <f t="shared" si="11"/>
        <v>0.19999999999999998</v>
      </c>
      <c r="AT19" s="74">
        <f t="shared" si="12"/>
        <v>3.96E-5</v>
      </c>
      <c r="AU19" s="73">
        <f t="shared" si="26"/>
        <v>3.5205231844065752</v>
      </c>
      <c r="AV19" s="71">
        <f t="shared" si="27"/>
        <v>25.200000000000003</v>
      </c>
      <c r="AW19" s="74">
        <f t="shared" si="28"/>
        <v>87.742134216002043</v>
      </c>
    </row>
    <row r="20" spans="17:49" x14ac:dyDescent="0.25">
      <c r="Q20">
        <v>13</v>
      </c>
      <c r="R20" s="73">
        <f t="shared" si="0"/>
        <v>21</v>
      </c>
      <c r="S20" s="71">
        <f t="shared" si="1"/>
        <v>1.3</v>
      </c>
      <c r="T20" s="71">
        <f t="shared" si="2"/>
        <v>12</v>
      </c>
      <c r="U20" s="74">
        <f t="shared" si="3"/>
        <v>2.2749999999999999</v>
      </c>
      <c r="V20" s="73">
        <f>IF(Variable_Management!$B$20=3,2,IF((S20*R20/T20)&lt;((T20*(1-(T20/R20)))/(2*Lm*Fsw)),1,2))</f>
        <v>2</v>
      </c>
      <c r="W20" s="71">
        <f t="shared" si="13"/>
        <v>0.4285714285714286</v>
      </c>
      <c r="X20" s="74">
        <f t="shared" si="4"/>
        <v>0.5714285714285714</v>
      </c>
      <c r="Y20" s="73">
        <f t="shared" si="5"/>
        <v>2.5714285714285716</v>
      </c>
      <c r="Z20" s="71">
        <f t="shared" si="30"/>
        <v>3.5607142857142859</v>
      </c>
      <c r="AA20" s="71">
        <f t="shared" si="31"/>
        <v>2.3930410377098141</v>
      </c>
      <c r="AB20" s="71">
        <v>0</v>
      </c>
      <c r="AC20" s="71">
        <f t="shared" si="6"/>
        <v>7.9027706632653055E-3</v>
      </c>
      <c r="AD20" s="74">
        <f t="shared" si="16"/>
        <v>7.9027706632653055E-3</v>
      </c>
      <c r="AE20" s="73">
        <f t="shared" si="29"/>
        <v>0.97500000000000009</v>
      </c>
      <c r="AF20" s="71">
        <f t="shared" si="17"/>
        <v>1.566613099491557</v>
      </c>
      <c r="AG20" s="71">
        <f t="shared" si="7"/>
        <v>2.1597634110787182E-2</v>
      </c>
      <c r="AH20" s="71">
        <f t="shared" si="18"/>
        <v>0.89274304383469172</v>
      </c>
      <c r="AI20" s="74">
        <f t="shared" si="19"/>
        <v>0.91434067794547891</v>
      </c>
      <c r="AJ20" s="73">
        <f t="shared" si="20"/>
        <v>1.2999999999999998</v>
      </c>
      <c r="AK20" s="71">
        <f t="shared" si="21"/>
        <v>1.8089689894148886</v>
      </c>
      <c r="AL20" s="71">
        <f t="shared" si="8"/>
        <v>2.879684548104957E-2</v>
      </c>
      <c r="AM20" s="71">
        <f t="shared" si="22"/>
        <v>1.4388000000000003</v>
      </c>
      <c r="AN20" s="188">
        <f t="shared" si="23"/>
        <v>0.11394285714285715</v>
      </c>
      <c r="AO20" s="74">
        <f t="shared" si="24"/>
        <v>1.5815397026239071</v>
      </c>
      <c r="AP20" s="73">
        <f t="shared" si="25"/>
        <v>8.5899681122448973E-3</v>
      </c>
      <c r="AQ20" s="206">
        <f t="shared" si="9"/>
        <v>7.9027706632653055E-3</v>
      </c>
      <c r="AR20" s="206">
        <f t="shared" si="10"/>
        <v>0.88447929873185172</v>
      </c>
      <c r="AS20" s="71">
        <f t="shared" si="11"/>
        <v>0.19999999999999998</v>
      </c>
      <c r="AT20" s="74">
        <f t="shared" si="12"/>
        <v>3.96E-5</v>
      </c>
      <c r="AU20" s="73">
        <f t="shared" si="26"/>
        <v>3.6047947887400138</v>
      </c>
      <c r="AV20" s="71">
        <f t="shared" si="27"/>
        <v>27.3</v>
      </c>
      <c r="AW20" s="74">
        <f t="shared" si="28"/>
        <v>88.335807393701259</v>
      </c>
    </row>
    <row r="21" spans="17:49" x14ac:dyDescent="0.25">
      <c r="Q21">
        <v>14</v>
      </c>
      <c r="R21" s="73">
        <f t="shared" si="0"/>
        <v>21</v>
      </c>
      <c r="S21" s="71">
        <f t="shared" si="1"/>
        <v>1.4000000000000001</v>
      </c>
      <c r="T21" s="71">
        <f t="shared" si="2"/>
        <v>12</v>
      </c>
      <c r="U21" s="74">
        <f t="shared" si="3"/>
        <v>2.4500000000000002</v>
      </c>
      <c r="V21" s="73">
        <f>IF(Variable_Management!$B$20=3,2,IF((S21*R21/T21)&lt;((T21*(1-(T21/R21)))/(2*Lm*Fsw)),1,2))</f>
        <v>2</v>
      </c>
      <c r="W21" s="71">
        <f t="shared" si="13"/>
        <v>0.4285714285714286</v>
      </c>
      <c r="X21" s="74">
        <f t="shared" si="4"/>
        <v>0.5714285714285714</v>
      </c>
      <c r="Y21" s="73">
        <f t="shared" si="5"/>
        <v>2.5714285714285716</v>
      </c>
      <c r="Z21" s="71">
        <f t="shared" si="30"/>
        <v>3.7357142857142858</v>
      </c>
      <c r="AA21" s="71">
        <f t="shared" si="31"/>
        <v>2.5599844546721893</v>
      </c>
      <c r="AB21" s="71">
        <v>0</v>
      </c>
      <c r="AC21" s="71">
        <f t="shared" si="6"/>
        <v>9.0438581632653076E-3</v>
      </c>
      <c r="AD21" s="74">
        <f t="shared" si="16"/>
        <v>9.0438581632653076E-3</v>
      </c>
      <c r="AE21" s="73">
        <f t="shared" si="29"/>
        <v>1.05</v>
      </c>
      <c r="AF21" s="71">
        <f t="shared" si="17"/>
        <v>1.6759032202065081</v>
      </c>
      <c r="AG21" s="71">
        <f t="shared" si="7"/>
        <v>2.4716134110787182E-2</v>
      </c>
      <c r="AH21" s="71">
        <f t="shared" si="18"/>
        <v>0.96141558566812957</v>
      </c>
      <c r="AI21" s="74">
        <f t="shared" si="19"/>
        <v>0.98613171977891678</v>
      </c>
      <c r="AJ21" s="73">
        <f t="shared" si="20"/>
        <v>1.4000000000000001</v>
      </c>
      <c r="AK21" s="71">
        <f t="shared" si="21"/>
        <v>1.935166350643976</v>
      </c>
      <c r="AL21" s="71">
        <f t="shared" si="8"/>
        <v>3.2954845481049572E-2</v>
      </c>
      <c r="AM21" s="71">
        <f t="shared" si="22"/>
        <v>1.4388000000000003</v>
      </c>
      <c r="AN21" s="188">
        <f t="shared" si="23"/>
        <v>0.11954285714285715</v>
      </c>
      <c r="AO21" s="74">
        <f t="shared" si="24"/>
        <v>1.591297702623907</v>
      </c>
      <c r="AP21" s="73">
        <f t="shared" si="25"/>
        <v>9.8302806122448991E-3</v>
      </c>
      <c r="AQ21" s="206">
        <f t="shared" si="9"/>
        <v>9.0438581632653076E-3</v>
      </c>
      <c r="AR21" s="206">
        <f t="shared" si="10"/>
        <v>0.88447929873185172</v>
      </c>
      <c r="AS21" s="71">
        <f t="shared" si="11"/>
        <v>0.19999999999999998</v>
      </c>
      <c r="AT21" s="74">
        <f t="shared" si="12"/>
        <v>3.96E-5</v>
      </c>
      <c r="AU21" s="73">
        <f t="shared" si="26"/>
        <v>3.6898663180734514</v>
      </c>
      <c r="AV21" s="71">
        <f t="shared" si="27"/>
        <v>29.400000000000002</v>
      </c>
      <c r="AW21" s="74">
        <f t="shared" si="28"/>
        <v>88.848953686893338</v>
      </c>
    </row>
    <row r="22" spans="17:49" x14ac:dyDescent="0.25">
      <c r="Q22">
        <v>15</v>
      </c>
      <c r="R22" s="73">
        <f t="shared" si="0"/>
        <v>21</v>
      </c>
      <c r="S22" s="71">
        <f t="shared" si="1"/>
        <v>1.5</v>
      </c>
      <c r="T22" s="71">
        <f t="shared" si="2"/>
        <v>12</v>
      </c>
      <c r="U22" s="74">
        <f t="shared" si="3"/>
        <v>2.625</v>
      </c>
      <c r="V22" s="73">
        <f>IF(Variable_Management!$B$20=3,2,IF((S22*R22/T22)&lt;((T22*(1-(T22/R22)))/(2*Lm*Fsw)),1,2))</f>
        <v>2</v>
      </c>
      <c r="W22" s="71">
        <f t="shared" si="13"/>
        <v>0.4285714285714286</v>
      </c>
      <c r="X22" s="74">
        <f t="shared" si="4"/>
        <v>0.5714285714285714</v>
      </c>
      <c r="Y22" s="73">
        <f t="shared" si="5"/>
        <v>2.5714285714285716</v>
      </c>
      <c r="Z22" s="71">
        <f t="shared" si="30"/>
        <v>3.9107142857142856</v>
      </c>
      <c r="AA22" s="71">
        <f t="shared" si="31"/>
        <v>2.7279379406730033</v>
      </c>
      <c r="AB22" s="71">
        <v>0</v>
      </c>
      <c r="AC22" s="71">
        <f t="shared" si="6"/>
        <v>1.0269470663265307E-2</v>
      </c>
      <c r="AD22" s="74">
        <f t="shared" si="16"/>
        <v>1.0269470663265307E-2</v>
      </c>
      <c r="AE22" s="73">
        <f t="shared" si="29"/>
        <v>1.125</v>
      </c>
      <c r="AF22" s="71">
        <f t="shared" si="17"/>
        <v>1.7858545863251416</v>
      </c>
      <c r="AG22" s="71">
        <f t="shared" si="7"/>
        <v>2.8065634110787177E-2</v>
      </c>
      <c r="AH22" s="71">
        <f t="shared" si="18"/>
        <v>1.0300881275015674</v>
      </c>
      <c r="AI22" s="74">
        <f t="shared" si="19"/>
        <v>1.0581537616123546</v>
      </c>
      <c r="AJ22" s="73">
        <f t="shared" si="20"/>
        <v>1.5</v>
      </c>
      <c r="AK22" s="71">
        <f t="shared" si="21"/>
        <v>2.0621272522966962</v>
      </c>
      <c r="AL22" s="71">
        <f t="shared" si="8"/>
        <v>3.7420845481049556E-2</v>
      </c>
      <c r="AM22" s="71">
        <f t="shared" si="22"/>
        <v>1.4388000000000003</v>
      </c>
      <c r="AN22" s="188">
        <f t="shared" si="23"/>
        <v>0.12514285714285714</v>
      </c>
      <c r="AO22" s="74">
        <f t="shared" si="24"/>
        <v>1.6013637026239071</v>
      </c>
      <c r="AP22" s="73">
        <f t="shared" si="25"/>
        <v>1.1162468112244899E-2</v>
      </c>
      <c r="AQ22" s="206">
        <f t="shared" si="9"/>
        <v>1.0269470663265307E-2</v>
      </c>
      <c r="AR22" s="206">
        <f t="shared" si="10"/>
        <v>0.88447929873185172</v>
      </c>
      <c r="AS22" s="71">
        <f t="shared" si="11"/>
        <v>0.19999999999999998</v>
      </c>
      <c r="AT22" s="74">
        <f t="shared" si="12"/>
        <v>3.96E-5</v>
      </c>
      <c r="AU22" s="73">
        <f t="shared" si="26"/>
        <v>3.775737772406889</v>
      </c>
      <c r="AV22" s="71">
        <f t="shared" si="27"/>
        <v>31.5</v>
      </c>
      <c r="AW22" s="74">
        <f t="shared" si="28"/>
        <v>89.296502324721558</v>
      </c>
    </row>
    <row r="23" spans="17:49" x14ac:dyDescent="0.25">
      <c r="Q23">
        <v>16</v>
      </c>
      <c r="R23" s="73">
        <f t="shared" si="0"/>
        <v>21</v>
      </c>
      <c r="S23" s="71">
        <f t="shared" si="1"/>
        <v>1.6</v>
      </c>
      <c r="T23" s="71">
        <f t="shared" si="2"/>
        <v>12</v>
      </c>
      <c r="U23" s="74">
        <f t="shared" si="3"/>
        <v>2.8000000000000003</v>
      </c>
      <c r="V23" s="73">
        <f>IF(Variable_Management!$B$20=3,2,IF((S23*R23/T23)&lt;((T23*(1-(T23/R23)))/(2*Lm*Fsw)),1,2))</f>
        <v>2</v>
      </c>
      <c r="W23" s="71">
        <f t="shared" si="13"/>
        <v>0.4285714285714286</v>
      </c>
      <c r="X23" s="74">
        <f t="shared" si="4"/>
        <v>0.5714285714285714</v>
      </c>
      <c r="Y23" s="73">
        <f t="shared" si="5"/>
        <v>2.5714285714285716</v>
      </c>
      <c r="Z23" s="71">
        <f t="shared" si="30"/>
        <v>4.0857142857142863</v>
      </c>
      <c r="AA23" s="71">
        <f t="shared" si="31"/>
        <v>2.896725808246833</v>
      </c>
      <c r="AB23" s="71">
        <v>0</v>
      </c>
      <c r="AC23" s="71">
        <f t="shared" si="6"/>
        <v>1.1579608163265309E-2</v>
      </c>
      <c r="AD23" s="74">
        <f t="shared" si="16"/>
        <v>1.1579608163265309E-2</v>
      </c>
      <c r="AE23" s="73">
        <f t="shared" si="29"/>
        <v>1.2000000000000002</v>
      </c>
      <c r="AF23" s="71">
        <f t="shared" si="17"/>
        <v>1.896352183403321</v>
      </c>
      <c r="AG23" s="71">
        <f t="shared" si="7"/>
        <v>3.1646134110787177E-2</v>
      </c>
      <c r="AH23" s="71">
        <f t="shared" si="18"/>
        <v>1.0987606693350054</v>
      </c>
      <c r="AI23" s="74">
        <f t="shared" si="19"/>
        <v>1.1304068034457926</v>
      </c>
      <c r="AJ23" s="73">
        <f t="shared" si="20"/>
        <v>1.6</v>
      </c>
      <c r="AK23" s="71">
        <f t="shared" si="21"/>
        <v>2.189718887132484</v>
      </c>
      <c r="AL23" s="71">
        <f t="shared" si="8"/>
        <v>4.2194845481049577E-2</v>
      </c>
      <c r="AM23" s="71">
        <f t="shared" si="22"/>
        <v>1.4388000000000003</v>
      </c>
      <c r="AN23" s="188">
        <f t="shared" si="23"/>
        <v>0.13074285714285716</v>
      </c>
      <c r="AO23" s="74">
        <f t="shared" si="24"/>
        <v>1.6117377026239073</v>
      </c>
      <c r="AP23" s="73">
        <f t="shared" si="25"/>
        <v>1.2586530612244903E-2</v>
      </c>
      <c r="AQ23" s="206">
        <f t="shared" si="9"/>
        <v>1.1579608163265309E-2</v>
      </c>
      <c r="AR23" s="206">
        <f t="shared" si="10"/>
        <v>0.88447929873185172</v>
      </c>
      <c r="AS23" s="71">
        <f t="shared" si="11"/>
        <v>0.19999999999999998</v>
      </c>
      <c r="AT23" s="74">
        <f t="shared" si="12"/>
        <v>3.96E-5</v>
      </c>
      <c r="AU23" s="73">
        <f t="shared" si="26"/>
        <v>3.8624091517403274</v>
      </c>
      <c r="AV23" s="71">
        <f t="shared" si="27"/>
        <v>33.6</v>
      </c>
      <c r="AW23" s="74">
        <f t="shared" si="28"/>
        <v>89.689907191777863</v>
      </c>
    </row>
    <row r="24" spans="17:49" x14ac:dyDescent="0.25">
      <c r="Q24">
        <v>17</v>
      </c>
      <c r="R24" s="73">
        <f t="shared" si="0"/>
        <v>21</v>
      </c>
      <c r="S24" s="71">
        <f t="shared" si="1"/>
        <v>1.7000000000000002</v>
      </c>
      <c r="T24" s="71">
        <f t="shared" si="2"/>
        <v>12</v>
      </c>
      <c r="U24" s="74">
        <f t="shared" si="3"/>
        <v>2.9750000000000001</v>
      </c>
      <c r="V24" s="73">
        <f>IF(Variable_Management!$B$20=3,2,IF((S24*R24/T24)&lt;((T24*(1-(T24/R24)))/(2*Lm*Fsw)),1,2))</f>
        <v>2</v>
      </c>
      <c r="W24" s="71">
        <f t="shared" si="13"/>
        <v>0.4285714285714286</v>
      </c>
      <c r="X24" s="74">
        <f t="shared" si="4"/>
        <v>0.5714285714285714</v>
      </c>
      <c r="Y24" s="73">
        <f t="shared" si="5"/>
        <v>2.5714285714285716</v>
      </c>
      <c r="Z24" s="71">
        <f t="shared" si="30"/>
        <v>4.2607142857142861</v>
      </c>
      <c r="AA24" s="71">
        <f t="shared" si="31"/>
        <v>3.0662102680937044</v>
      </c>
      <c r="AB24" s="71">
        <v>0</v>
      </c>
      <c r="AC24" s="71">
        <f t="shared" si="6"/>
        <v>1.2974270663265309E-2</v>
      </c>
      <c r="AD24" s="74">
        <f t="shared" si="16"/>
        <v>1.2974270663265309E-2</v>
      </c>
      <c r="AE24" s="73">
        <f t="shared" si="29"/>
        <v>1.2750000000000001</v>
      </c>
      <c r="AF24" s="71">
        <f t="shared" si="17"/>
        <v>2.0073058071700345</v>
      </c>
      <c r="AG24" s="71">
        <f t="shared" si="7"/>
        <v>3.5457634110787187E-2</v>
      </c>
      <c r="AH24" s="71">
        <f t="shared" si="18"/>
        <v>1.1674332111684431</v>
      </c>
      <c r="AI24" s="74">
        <f t="shared" si="19"/>
        <v>1.2028908452792304</v>
      </c>
      <c r="AJ24" s="73">
        <f t="shared" si="20"/>
        <v>1.7</v>
      </c>
      <c r="AK24" s="71">
        <f t="shared" si="21"/>
        <v>2.3178370962310368</v>
      </c>
      <c r="AL24" s="71">
        <f t="shared" si="8"/>
        <v>4.727684548104958E-2</v>
      </c>
      <c r="AM24" s="71">
        <f t="shared" si="22"/>
        <v>1.4388000000000003</v>
      </c>
      <c r="AN24" s="188">
        <f t="shared" si="23"/>
        <v>0.13634285714285715</v>
      </c>
      <c r="AO24" s="74">
        <f t="shared" si="24"/>
        <v>1.6224197026239069</v>
      </c>
      <c r="AP24" s="73">
        <f t="shared" si="25"/>
        <v>1.4102468112244901E-2</v>
      </c>
      <c r="AQ24" s="206">
        <f t="shared" si="9"/>
        <v>1.2974270663265309E-2</v>
      </c>
      <c r="AR24" s="206">
        <f t="shared" si="10"/>
        <v>0.88447929873185172</v>
      </c>
      <c r="AS24" s="71">
        <f t="shared" si="11"/>
        <v>0.19999999999999998</v>
      </c>
      <c r="AT24" s="74">
        <f t="shared" si="12"/>
        <v>3.96E-5</v>
      </c>
      <c r="AU24" s="73">
        <f t="shared" si="26"/>
        <v>3.9498804560737648</v>
      </c>
      <c r="AV24" s="71">
        <f t="shared" si="27"/>
        <v>35.700000000000003</v>
      </c>
      <c r="AW24" s="74">
        <f t="shared" si="28"/>
        <v>90.038102484445943</v>
      </c>
    </row>
    <row r="25" spans="17:49" x14ac:dyDescent="0.25">
      <c r="Q25">
        <v>18</v>
      </c>
      <c r="R25" s="73">
        <f t="shared" si="0"/>
        <v>21</v>
      </c>
      <c r="S25" s="71">
        <f t="shared" si="1"/>
        <v>1.8</v>
      </c>
      <c r="T25" s="71">
        <f t="shared" si="2"/>
        <v>12</v>
      </c>
      <c r="U25" s="74">
        <f t="shared" si="3"/>
        <v>3.1500000000000004</v>
      </c>
      <c r="V25" s="73">
        <f>IF(Variable_Management!$B$20=3,2,IF((S25*R25/T25)&lt;((T25*(1-(T25/R25)))/(2*Lm*Fsw)),1,2))</f>
        <v>2</v>
      </c>
      <c r="W25" s="71">
        <f t="shared" si="13"/>
        <v>0.4285714285714286</v>
      </c>
      <c r="X25" s="74">
        <f t="shared" si="4"/>
        <v>0.5714285714285714</v>
      </c>
      <c r="Y25" s="73">
        <f t="shared" si="5"/>
        <v>2.5714285714285716</v>
      </c>
      <c r="Z25" s="71">
        <f t="shared" si="30"/>
        <v>4.4357142857142859</v>
      </c>
      <c r="AA25" s="71">
        <f t="shared" si="31"/>
        <v>3.2362818802080993</v>
      </c>
      <c r="AB25" s="71">
        <v>0</v>
      </c>
      <c r="AC25" s="71">
        <f t="shared" si="6"/>
        <v>1.4453458163265313E-2</v>
      </c>
      <c r="AD25" s="74">
        <f t="shared" si="16"/>
        <v>1.4453458163265313E-2</v>
      </c>
      <c r="AE25" s="73">
        <f t="shared" si="29"/>
        <v>1.3500000000000003</v>
      </c>
      <c r="AF25" s="71">
        <f t="shared" si="17"/>
        <v>2.1186438123239459</v>
      </c>
      <c r="AG25" s="71">
        <f t="shared" si="7"/>
        <v>3.9500134110787184E-2</v>
      </c>
      <c r="AH25" s="71">
        <f t="shared" si="18"/>
        <v>1.2361057530018811</v>
      </c>
      <c r="AI25" s="74">
        <f t="shared" si="19"/>
        <v>1.2756058871126683</v>
      </c>
      <c r="AJ25" s="73">
        <f t="shared" si="20"/>
        <v>1.8</v>
      </c>
      <c r="AK25" s="71">
        <f t="shared" si="21"/>
        <v>2.4463991507243299</v>
      </c>
      <c r="AL25" s="71">
        <f t="shared" si="8"/>
        <v>5.2666845481049565E-2</v>
      </c>
      <c r="AM25" s="71">
        <f t="shared" si="22"/>
        <v>1.4388000000000003</v>
      </c>
      <c r="AN25" s="188">
        <f t="shared" si="23"/>
        <v>0.14194285714285715</v>
      </c>
      <c r="AO25" s="74">
        <f t="shared" si="24"/>
        <v>1.6334097026239069</v>
      </c>
      <c r="AP25" s="73">
        <f t="shared" si="25"/>
        <v>1.5710280612244908E-2</v>
      </c>
      <c r="AQ25" s="206">
        <f t="shared" si="9"/>
        <v>1.4453458163265313E-2</v>
      </c>
      <c r="AR25" s="206">
        <f t="shared" si="10"/>
        <v>0.88447929873185172</v>
      </c>
      <c r="AS25" s="71">
        <f t="shared" si="11"/>
        <v>0.19999999999999998</v>
      </c>
      <c r="AT25" s="74">
        <f t="shared" si="12"/>
        <v>3.96E-5</v>
      </c>
      <c r="AU25" s="73">
        <f t="shared" si="26"/>
        <v>4.0381516854072022</v>
      </c>
      <c r="AV25" s="71">
        <f t="shared" si="27"/>
        <v>37.800000000000004</v>
      </c>
      <c r="AW25" s="74">
        <f t="shared" si="28"/>
        <v>90.34815946036241</v>
      </c>
    </row>
    <row r="26" spans="17:49" x14ac:dyDescent="0.25">
      <c r="Q26">
        <v>19</v>
      </c>
      <c r="R26" s="73">
        <f t="shared" si="0"/>
        <v>21</v>
      </c>
      <c r="S26" s="71">
        <f t="shared" si="1"/>
        <v>1.9000000000000001</v>
      </c>
      <c r="T26" s="71">
        <f t="shared" si="2"/>
        <v>12</v>
      </c>
      <c r="U26" s="74">
        <f t="shared" si="3"/>
        <v>3.3250000000000006</v>
      </c>
      <c r="V26" s="73">
        <f>IF(Variable_Management!$B$20=3,2,IF((S26*R26/T26)&lt;((T26*(1-(T26/R26)))/(2*Lm*Fsw)),1,2))</f>
        <v>2</v>
      </c>
      <c r="W26" s="71">
        <f t="shared" si="13"/>
        <v>0.4285714285714286</v>
      </c>
      <c r="X26" s="74">
        <f t="shared" si="4"/>
        <v>0.5714285714285714</v>
      </c>
      <c r="Y26" s="73">
        <f t="shared" si="5"/>
        <v>2.5714285714285716</v>
      </c>
      <c r="Z26" s="71">
        <f t="shared" si="30"/>
        <v>4.6107142857142867</v>
      </c>
      <c r="AA26" s="71">
        <f t="shared" si="31"/>
        <v>3.4068527130128872</v>
      </c>
      <c r="AB26" s="71">
        <v>0</v>
      </c>
      <c r="AC26" s="71">
        <f t="shared" si="6"/>
        <v>1.6017170663265311E-2</v>
      </c>
      <c r="AD26" s="74">
        <f t="shared" si="16"/>
        <v>1.6017170663265311E-2</v>
      </c>
      <c r="AE26" s="73">
        <f t="shared" si="29"/>
        <v>1.4250000000000003</v>
      </c>
      <c r="AF26" s="71">
        <f t="shared" si="17"/>
        <v>2.2303086341353171</v>
      </c>
      <c r="AG26" s="71">
        <f t="shared" si="7"/>
        <v>4.3773634110787191E-2</v>
      </c>
      <c r="AH26" s="71">
        <f t="shared" si="18"/>
        <v>1.304778294835319</v>
      </c>
      <c r="AI26" s="74">
        <f t="shared" si="19"/>
        <v>1.3485519289461063</v>
      </c>
      <c r="AJ26" s="73">
        <f t="shared" si="20"/>
        <v>1.9000000000000004</v>
      </c>
      <c r="AK26" s="71">
        <f t="shared" si="21"/>
        <v>2.5753385805879438</v>
      </c>
      <c r="AL26" s="71">
        <f t="shared" si="8"/>
        <v>5.8364845481049588E-2</v>
      </c>
      <c r="AM26" s="71">
        <f t="shared" si="22"/>
        <v>1.4388000000000003</v>
      </c>
      <c r="AN26" s="188">
        <f t="shared" si="23"/>
        <v>0.14754285714285717</v>
      </c>
      <c r="AO26" s="74">
        <f t="shared" si="24"/>
        <v>1.644707702623907</v>
      </c>
      <c r="AP26" s="73">
        <f t="shared" si="25"/>
        <v>1.7409968112244906E-2</v>
      </c>
      <c r="AQ26" s="206">
        <f t="shared" si="9"/>
        <v>1.6017170663265311E-2</v>
      </c>
      <c r="AR26" s="206">
        <f t="shared" si="10"/>
        <v>0.88447929873185172</v>
      </c>
      <c r="AS26" s="71">
        <f t="shared" si="11"/>
        <v>0.19999999999999998</v>
      </c>
      <c r="AT26" s="74">
        <f t="shared" si="12"/>
        <v>3.96E-5</v>
      </c>
      <c r="AU26" s="73">
        <f t="shared" si="26"/>
        <v>4.1272228397406412</v>
      </c>
      <c r="AV26" s="71">
        <f t="shared" si="27"/>
        <v>39.900000000000006</v>
      </c>
      <c r="AW26" s="74">
        <f t="shared" si="28"/>
        <v>90.625747949708853</v>
      </c>
    </row>
    <row r="27" spans="17:49" x14ac:dyDescent="0.25">
      <c r="Q27">
        <v>20</v>
      </c>
      <c r="R27" s="73">
        <f t="shared" si="0"/>
        <v>21</v>
      </c>
      <c r="S27" s="71">
        <f t="shared" si="1"/>
        <v>2</v>
      </c>
      <c r="T27" s="71">
        <f t="shared" si="2"/>
        <v>12</v>
      </c>
      <c r="U27" s="74">
        <f t="shared" si="3"/>
        <v>3.5</v>
      </c>
      <c r="V27" s="73">
        <f>IF(Variable_Management!$B$20=3,2,IF((S27*R27/T27)&lt;((T27*(1-(T27/R27)))/(2*Lm*Fsw)),1,2))</f>
        <v>2</v>
      </c>
      <c r="W27" s="71">
        <f t="shared" si="13"/>
        <v>0.4285714285714286</v>
      </c>
      <c r="X27" s="74">
        <f t="shared" si="4"/>
        <v>0.5714285714285714</v>
      </c>
      <c r="Y27" s="73">
        <f t="shared" si="5"/>
        <v>2.5714285714285716</v>
      </c>
      <c r="Z27" s="71">
        <f t="shared" si="30"/>
        <v>4.7857142857142856</v>
      </c>
      <c r="AA27" s="71">
        <f t="shared" si="31"/>
        <v>3.5778513675337695</v>
      </c>
      <c r="AB27" s="71">
        <v>0</v>
      </c>
      <c r="AC27" s="71">
        <f t="shared" si="6"/>
        <v>1.7665408163265305E-2</v>
      </c>
      <c r="AD27" s="74">
        <f t="shared" si="16"/>
        <v>1.7665408163265305E-2</v>
      </c>
      <c r="AE27" s="73">
        <f t="shared" si="29"/>
        <v>1.5</v>
      </c>
      <c r="AF27" s="71">
        <f t="shared" si="17"/>
        <v>2.3422535310035379</v>
      </c>
      <c r="AG27" s="71">
        <f t="shared" si="7"/>
        <v>4.8278134110787164E-2</v>
      </c>
      <c r="AH27" s="71">
        <f t="shared" si="18"/>
        <v>1.3734508366687566</v>
      </c>
      <c r="AI27" s="74">
        <f t="shared" si="19"/>
        <v>1.4217289707795437</v>
      </c>
      <c r="AJ27" s="73">
        <f t="shared" si="20"/>
        <v>2</v>
      </c>
      <c r="AK27" s="71">
        <f t="shared" si="21"/>
        <v>2.7046014132704879</v>
      </c>
      <c r="AL27" s="71">
        <f t="shared" si="8"/>
        <v>6.4370845481049543E-2</v>
      </c>
      <c r="AM27" s="71">
        <f t="shared" si="22"/>
        <v>1.4388000000000003</v>
      </c>
      <c r="AN27" s="188">
        <f t="shared" si="23"/>
        <v>0.15314285714285714</v>
      </c>
      <c r="AO27" s="74">
        <f t="shared" si="24"/>
        <v>1.656313702623907</v>
      </c>
      <c r="AP27" s="73">
        <f t="shared" si="25"/>
        <v>1.9201530612244899E-2</v>
      </c>
      <c r="AQ27" s="206">
        <f t="shared" si="9"/>
        <v>1.7665408163265305E-2</v>
      </c>
      <c r="AR27" s="206">
        <f t="shared" si="10"/>
        <v>0.88447929873185172</v>
      </c>
      <c r="AS27" s="71">
        <f t="shared" si="11"/>
        <v>0.19999999999999998</v>
      </c>
      <c r="AT27" s="74">
        <f t="shared" si="12"/>
        <v>3.96E-5</v>
      </c>
      <c r="AU27" s="73">
        <f t="shared" si="26"/>
        <v>4.2170939190740784</v>
      </c>
      <c r="AV27" s="71">
        <f t="shared" si="27"/>
        <v>42</v>
      </c>
      <c r="AW27" s="74">
        <f t="shared" si="28"/>
        <v>90.875467145428502</v>
      </c>
    </row>
    <row r="28" spans="17:49" x14ac:dyDescent="0.25">
      <c r="Q28">
        <v>21</v>
      </c>
      <c r="R28" s="73">
        <f t="shared" si="0"/>
        <v>21</v>
      </c>
      <c r="S28" s="71">
        <f t="shared" si="1"/>
        <v>2.1</v>
      </c>
      <c r="T28" s="71">
        <f t="shared" si="2"/>
        <v>12</v>
      </c>
      <c r="U28" s="74">
        <f t="shared" si="3"/>
        <v>3.6750000000000003</v>
      </c>
      <c r="V28" s="73">
        <f>IF(Variable_Management!$B$20=3,2,IF((S28*R28/T28)&lt;((T28*(1-(T28/R28)))/(2*Lm*Fsw)),1,2))</f>
        <v>2</v>
      </c>
      <c r="W28" s="71">
        <f t="shared" si="13"/>
        <v>0.4285714285714286</v>
      </c>
      <c r="X28" s="74">
        <f t="shared" si="4"/>
        <v>0.5714285714285714</v>
      </c>
      <c r="Y28" s="73">
        <f t="shared" si="5"/>
        <v>2.5714285714285716</v>
      </c>
      <c r="Z28" s="71">
        <f t="shared" si="30"/>
        <v>4.9607142857142863</v>
      </c>
      <c r="AA28" s="71">
        <f t="shared" si="31"/>
        <v>3.7492193064907884</v>
      </c>
      <c r="AB28" s="71">
        <v>0</v>
      </c>
      <c r="AC28" s="71">
        <f t="shared" si="6"/>
        <v>1.939817066326531E-2</v>
      </c>
      <c r="AD28" s="74">
        <f t="shared" si="16"/>
        <v>1.939817066326531E-2</v>
      </c>
      <c r="AE28" s="73">
        <f t="shared" si="29"/>
        <v>1.5750000000000002</v>
      </c>
      <c r="AF28" s="71">
        <f t="shared" si="17"/>
        <v>2.4544401812834109</v>
      </c>
      <c r="AG28" s="71">
        <f t="shared" si="7"/>
        <v>5.3013634110787182E-2</v>
      </c>
      <c r="AH28" s="71">
        <f t="shared" si="18"/>
        <v>1.4421233785021945</v>
      </c>
      <c r="AI28" s="74">
        <f t="shared" si="19"/>
        <v>1.4951370126129817</v>
      </c>
      <c r="AJ28" s="73">
        <f t="shared" si="20"/>
        <v>2.1</v>
      </c>
      <c r="AK28" s="71">
        <f t="shared" si="21"/>
        <v>2.8341433987476221</v>
      </c>
      <c r="AL28" s="71">
        <f t="shared" si="8"/>
        <v>7.0684845481049557E-2</v>
      </c>
      <c r="AM28" s="71">
        <f t="shared" si="22"/>
        <v>1.4388000000000003</v>
      </c>
      <c r="AN28" s="188">
        <f t="shared" si="23"/>
        <v>0.15874285714285716</v>
      </c>
      <c r="AO28" s="74">
        <f t="shared" si="24"/>
        <v>1.668227702623907</v>
      </c>
      <c r="AP28" s="73">
        <f t="shared" si="25"/>
        <v>2.1084968112244903E-2</v>
      </c>
      <c r="AQ28" s="206">
        <f t="shared" si="9"/>
        <v>1.939817066326531E-2</v>
      </c>
      <c r="AR28" s="206">
        <f t="shared" si="10"/>
        <v>0.88447929873185172</v>
      </c>
      <c r="AS28" s="71">
        <f t="shared" si="11"/>
        <v>0.19999999999999998</v>
      </c>
      <c r="AT28" s="74">
        <f t="shared" si="12"/>
        <v>3.96E-5</v>
      </c>
      <c r="AU28" s="73">
        <f t="shared" si="26"/>
        <v>4.3077649234075155</v>
      </c>
      <c r="AV28" s="71">
        <f t="shared" si="27"/>
        <v>44.1</v>
      </c>
      <c r="AW28" s="74">
        <f t="shared" si="28"/>
        <v>91.101086922266674</v>
      </c>
    </row>
    <row r="29" spans="17:49" x14ac:dyDescent="0.25">
      <c r="Q29">
        <v>22</v>
      </c>
      <c r="R29" s="73">
        <f t="shared" si="0"/>
        <v>21</v>
      </c>
      <c r="S29" s="71">
        <f t="shared" si="1"/>
        <v>2.2000000000000002</v>
      </c>
      <c r="T29" s="71">
        <f t="shared" si="2"/>
        <v>12</v>
      </c>
      <c r="U29" s="74">
        <f t="shared" si="3"/>
        <v>3.85</v>
      </c>
      <c r="V29" s="73">
        <f>IF(Variable_Management!$B$20=3,2,IF((S29*R29/T29)&lt;((T29*(1-(T29/R29)))/(2*Lm*Fsw)),1,2))</f>
        <v>2</v>
      </c>
      <c r="W29" s="71">
        <f t="shared" si="13"/>
        <v>0.4285714285714286</v>
      </c>
      <c r="X29" s="74">
        <f t="shared" si="4"/>
        <v>0.5714285714285714</v>
      </c>
      <c r="Y29" s="73">
        <f t="shared" si="5"/>
        <v>2.5714285714285716</v>
      </c>
      <c r="Z29" s="71">
        <f t="shared" si="30"/>
        <v>5.1357142857142861</v>
      </c>
      <c r="AA29" s="71">
        <f t="shared" si="31"/>
        <v>3.9209081101402092</v>
      </c>
      <c r="AB29" s="71">
        <v>0</v>
      </c>
      <c r="AC29" s="71">
        <f t="shared" si="6"/>
        <v>2.1215458163265307E-2</v>
      </c>
      <c r="AD29" s="74">
        <f t="shared" si="16"/>
        <v>2.1215458163265307E-2</v>
      </c>
      <c r="AE29" s="73">
        <f t="shared" si="29"/>
        <v>1.6500000000000001</v>
      </c>
      <c r="AF29" s="71">
        <f t="shared" si="17"/>
        <v>2.5668368868119655</v>
      </c>
      <c r="AG29" s="71">
        <f t="shared" si="7"/>
        <v>5.7980134110787181E-2</v>
      </c>
      <c r="AH29" s="71">
        <f t="shared" si="18"/>
        <v>1.5107959203356325</v>
      </c>
      <c r="AI29" s="74">
        <f t="shared" si="19"/>
        <v>1.5687760544464198</v>
      </c>
      <c r="AJ29" s="73">
        <f t="shared" si="20"/>
        <v>2.1999999999999997</v>
      </c>
      <c r="AK29" s="71">
        <f t="shared" si="21"/>
        <v>2.9639279351334986</v>
      </c>
      <c r="AL29" s="71">
        <f t="shared" si="8"/>
        <v>7.7306845481049588E-2</v>
      </c>
      <c r="AM29" s="71">
        <f t="shared" si="22"/>
        <v>1.4388000000000003</v>
      </c>
      <c r="AN29" s="188">
        <f t="shared" si="23"/>
        <v>0.16434285714285715</v>
      </c>
      <c r="AO29" s="74">
        <f t="shared" si="24"/>
        <v>1.6804497026239069</v>
      </c>
      <c r="AP29" s="73">
        <f t="shared" si="25"/>
        <v>2.3060280612244903E-2</v>
      </c>
      <c r="AQ29" s="206">
        <f t="shared" si="9"/>
        <v>2.1215458163265307E-2</v>
      </c>
      <c r="AR29" s="206">
        <f t="shared" si="10"/>
        <v>0.88447929873185172</v>
      </c>
      <c r="AS29" s="71">
        <f t="shared" si="11"/>
        <v>0.19999999999999998</v>
      </c>
      <c r="AT29" s="74">
        <f t="shared" si="12"/>
        <v>3.96E-5</v>
      </c>
      <c r="AU29" s="73">
        <f t="shared" si="26"/>
        <v>4.3992358527409543</v>
      </c>
      <c r="AV29" s="71">
        <f t="shared" si="27"/>
        <v>46.2</v>
      </c>
      <c r="AW29" s="74">
        <f t="shared" si="28"/>
        <v>91.305726700015668</v>
      </c>
    </row>
    <row r="30" spans="17:49" x14ac:dyDescent="0.25">
      <c r="Q30">
        <v>23</v>
      </c>
      <c r="R30" s="73">
        <f t="shared" si="0"/>
        <v>21</v>
      </c>
      <c r="S30" s="71">
        <f t="shared" si="1"/>
        <v>2.3000000000000003</v>
      </c>
      <c r="T30" s="71">
        <f t="shared" si="2"/>
        <v>12</v>
      </c>
      <c r="U30" s="74">
        <f t="shared" si="3"/>
        <v>4.0250000000000004</v>
      </c>
      <c r="V30" s="73">
        <f>IF(Variable_Management!$B$20=3,2,IF((S30*R30/T30)&lt;((T30*(1-(T30/R30)))/(2*Lm*Fsw)),1,2))</f>
        <v>2</v>
      </c>
      <c r="W30" s="71">
        <f t="shared" si="13"/>
        <v>0.4285714285714286</v>
      </c>
      <c r="X30" s="74">
        <f t="shared" si="4"/>
        <v>0.5714285714285714</v>
      </c>
      <c r="Y30" s="73">
        <f t="shared" si="5"/>
        <v>2.5714285714285716</v>
      </c>
      <c r="Z30" s="71">
        <f t="shared" si="30"/>
        <v>5.3107142857142859</v>
      </c>
      <c r="AA30" s="71">
        <f t="shared" si="31"/>
        <v>4.0928773996008321</v>
      </c>
      <c r="AB30" s="71">
        <v>0</v>
      </c>
      <c r="AC30" s="71">
        <f t="shared" si="6"/>
        <v>2.3117270663265313E-2</v>
      </c>
      <c r="AD30" s="74">
        <f t="shared" si="16"/>
        <v>2.3117270663265313E-2</v>
      </c>
      <c r="AE30" s="73">
        <f t="shared" si="29"/>
        <v>1.7250000000000003</v>
      </c>
      <c r="AF30" s="71">
        <f t="shared" si="17"/>
        <v>2.6794172134064045</v>
      </c>
      <c r="AG30" s="71">
        <f t="shared" si="7"/>
        <v>6.3177634110787168E-2</v>
      </c>
      <c r="AH30" s="71">
        <f t="shared" si="18"/>
        <v>1.57946846216907</v>
      </c>
      <c r="AI30" s="74">
        <f t="shared" si="19"/>
        <v>1.6426460962798572</v>
      </c>
      <c r="AJ30" s="73">
        <f t="shared" si="20"/>
        <v>2.3000000000000003</v>
      </c>
      <c r="AK30" s="71">
        <f t="shared" si="21"/>
        <v>3.093924498863009</v>
      </c>
      <c r="AL30" s="71">
        <f t="shared" si="8"/>
        <v>8.4236845481049552E-2</v>
      </c>
      <c r="AM30" s="71">
        <f t="shared" si="22"/>
        <v>1.4388000000000003</v>
      </c>
      <c r="AN30" s="188">
        <f t="shared" si="23"/>
        <v>0.16994285714285715</v>
      </c>
      <c r="AO30" s="74">
        <f t="shared" si="24"/>
        <v>1.6929797026239071</v>
      </c>
      <c r="AP30" s="73">
        <f t="shared" si="25"/>
        <v>2.5127468112244904E-2</v>
      </c>
      <c r="AQ30" s="206">
        <f t="shared" si="9"/>
        <v>2.3117270663265313E-2</v>
      </c>
      <c r="AR30" s="206">
        <f t="shared" si="10"/>
        <v>0.88447929873185172</v>
      </c>
      <c r="AS30" s="71">
        <f t="shared" si="11"/>
        <v>0.19999999999999998</v>
      </c>
      <c r="AT30" s="74">
        <f t="shared" si="12"/>
        <v>3.96E-5</v>
      </c>
      <c r="AU30" s="73">
        <f t="shared" si="26"/>
        <v>4.4915067070743913</v>
      </c>
      <c r="AV30" s="71">
        <f t="shared" si="27"/>
        <v>48.300000000000004</v>
      </c>
      <c r="AW30" s="74">
        <f t="shared" si="28"/>
        <v>91.491989929371528</v>
      </c>
    </row>
    <row r="31" spans="17:49" x14ac:dyDescent="0.25">
      <c r="Q31">
        <v>24</v>
      </c>
      <c r="R31" s="73">
        <f t="shared" si="0"/>
        <v>21</v>
      </c>
      <c r="S31" s="71">
        <f t="shared" si="1"/>
        <v>2.4000000000000004</v>
      </c>
      <c r="T31" s="71">
        <f t="shared" si="2"/>
        <v>12</v>
      </c>
      <c r="U31" s="74">
        <f t="shared" si="3"/>
        <v>4.2</v>
      </c>
      <c r="V31" s="73">
        <f>IF(Variable_Management!$B$20=3,2,IF((S31*R31/T31)&lt;((T31*(1-(T31/R31)))/(2*Lm*Fsw)),1,2))</f>
        <v>2</v>
      </c>
      <c r="W31" s="71">
        <f t="shared" si="13"/>
        <v>0.4285714285714286</v>
      </c>
      <c r="X31" s="74">
        <f t="shared" si="4"/>
        <v>0.5714285714285714</v>
      </c>
      <c r="Y31" s="73">
        <f t="shared" si="5"/>
        <v>2.5714285714285716</v>
      </c>
      <c r="Z31" s="71">
        <f t="shared" si="30"/>
        <v>5.4857142857142858</v>
      </c>
      <c r="AA31" s="71">
        <f t="shared" si="31"/>
        <v>4.265093247299907</v>
      </c>
      <c r="AB31" s="71">
        <v>0</v>
      </c>
      <c r="AC31" s="71">
        <f t="shared" si="6"/>
        <v>2.5103608163265304E-2</v>
      </c>
      <c r="AD31" s="74">
        <f t="shared" si="16"/>
        <v>2.5103608163265304E-2</v>
      </c>
      <c r="AE31" s="73">
        <f t="shared" si="29"/>
        <v>1.8000000000000003</v>
      </c>
      <c r="AF31" s="71">
        <f t="shared" si="17"/>
        <v>2.7921589502566908</v>
      </c>
      <c r="AG31" s="71">
        <f t="shared" si="7"/>
        <v>6.8606134110787198E-2</v>
      </c>
      <c r="AH31" s="71">
        <f t="shared" si="18"/>
        <v>1.6481410040025077</v>
      </c>
      <c r="AI31" s="74">
        <f t="shared" si="19"/>
        <v>1.7167471381132948</v>
      </c>
      <c r="AJ31" s="73">
        <f t="shared" si="20"/>
        <v>2.4</v>
      </c>
      <c r="AK31" s="71">
        <f t="shared" si="21"/>
        <v>3.2241074431018464</v>
      </c>
      <c r="AL31" s="71">
        <f t="shared" si="8"/>
        <v>9.1474845481049588E-2</v>
      </c>
      <c r="AM31" s="71">
        <f t="shared" si="22"/>
        <v>1.4388000000000003</v>
      </c>
      <c r="AN31" s="188">
        <f t="shared" si="23"/>
        <v>0.17554285714285714</v>
      </c>
      <c r="AO31" s="74">
        <f t="shared" si="24"/>
        <v>1.7058177026239072</v>
      </c>
      <c r="AP31" s="73">
        <f t="shared" si="25"/>
        <v>2.7286530612244897E-2</v>
      </c>
      <c r="AQ31" s="206">
        <f t="shared" si="9"/>
        <v>2.5103608163265304E-2</v>
      </c>
      <c r="AR31" s="206">
        <f t="shared" si="10"/>
        <v>0.88447929873185172</v>
      </c>
      <c r="AS31" s="71">
        <f t="shared" si="11"/>
        <v>0.19999999999999998</v>
      </c>
      <c r="AT31" s="74">
        <f t="shared" si="12"/>
        <v>3.96E-5</v>
      </c>
      <c r="AU31" s="73">
        <f t="shared" si="26"/>
        <v>4.584577486407829</v>
      </c>
      <c r="AV31" s="71">
        <f t="shared" si="27"/>
        <v>50.400000000000006</v>
      </c>
      <c r="AW31" s="74">
        <f t="shared" si="28"/>
        <v>91.662066535764254</v>
      </c>
    </row>
    <row r="32" spans="17:49" x14ac:dyDescent="0.25">
      <c r="Q32">
        <v>25</v>
      </c>
      <c r="R32" s="73">
        <f t="shared" si="0"/>
        <v>21</v>
      </c>
      <c r="S32" s="71">
        <f t="shared" si="1"/>
        <v>2.5</v>
      </c>
      <c r="T32" s="71">
        <f t="shared" si="2"/>
        <v>12</v>
      </c>
      <c r="U32" s="74">
        <f t="shared" si="3"/>
        <v>4.375</v>
      </c>
      <c r="V32" s="73">
        <f>IF(Variable_Management!$B$20=3,2,IF((S32*R32/T32)&lt;((T32*(1-(T32/R32)))/(2*Lm*Fsw)),1,2))</f>
        <v>2</v>
      </c>
      <c r="W32" s="71">
        <f t="shared" si="13"/>
        <v>0.4285714285714286</v>
      </c>
      <c r="X32" s="74">
        <f t="shared" si="4"/>
        <v>0.5714285714285714</v>
      </c>
      <c r="Y32" s="73">
        <f t="shared" si="5"/>
        <v>2.5714285714285716</v>
      </c>
      <c r="Z32" s="71">
        <f t="shared" si="30"/>
        <v>5.6607142857142856</v>
      </c>
      <c r="AA32" s="71">
        <f t="shared" si="31"/>
        <v>4.437526947316857</v>
      </c>
      <c r="AB32" s="71">
        <v>0</v>
      </c>
      <c r="AC32" s="71">
        <f t="shared" si="6"/>
        <v>2.7174470663265303E-2</v>
      </c>
      <c r="AD32" s="74">
        <f t="shared" si="16"/>
        <v>2.7174470663265303E-2</v>
      </c>
      <c r="AE32" s="73">
        <f t="shared" si="29"/>
        <v>1.8750000000000002</v>
      </c>
      <c r="AF32" s="71">
        <f t="shared" si="17"/>
        <v>2.9050433049265449</v>
      </c>
      <c r="AG32" s="71">
        <f t="shared" si="7"/>
        <v>7.4265634110787182E-2</v>
      </c>
      <c r="AH32" s="71">
        <f t="shared" si="18"/>
        <v>1.7168135458359457</v>
      </c>
      <c r="AI32" s="74">
        <f t="shared" si="19"/>
        <v>1.7910791799467329</v>
      </c>
      <c r="AJ32" s="73">
        <f t="shared" si="20"/>
        <v>2.5</v>
      </c>
      <c r="AK32" s="71">
        <f t="shared" si="21"/>
        <v>3.354455068213722</v>
      </c>
      <c r="AL32" s="71">
        <f t="shared" si="8"/>
        <v>9.9020845481049599E-2</v>
      </c>
      <c r="AM32" s="71">
        <f t="shared" si="22"/>
        <v>1.4388000000000003</v>
      </c>
      <c r="AN32" s="188">
        <f t="shared" si="23"/>
        <v>0.18114285714285713</v>
      </c>
      <c r="AO32" s="74">
        <f t="shared" si="24"/>
        <v>1.7189637026239069</v>
      </c>
      <c r="AP32" s="73">
        <f t="shared" si="25"/>
        <v>2.9537468112244898E-2</v>
      </c>
      <c r="AQ32" s="206">
        <f t="shared" si="9"/>
        <v>2.7174470663265303E-2</v>
      </c>
      <c r="AR32" s="206">
        <f t="shared" si="10"/>
        <v>0.88447929873185172</v>
      </c>
      <c r="AS32" s="71">
        <f t="shared" si="11"/>
        <v>0.19999999999999998</v>
      </c>
      <c r="AT32" s="74">
        <f t="shared" si="12"/>
        <v>3.96E-5</v>
      </c>
      <c r="AU32" s="73">
        <f t="shared" si="26"/>
        <v>4.6784481907412667</v>
      </c>
      <c r="AV32" s="71">
        <f t="shared" si="27"/>
        <v>52.5</v>
      </c>
      <c r="AW32" s="74">
        <f t="shared" si="28"/>
        <v>91.817811887558648</v>
      </c>
    </row>
    <row r="33" spans="17:49" x14ac:dyDescent="0.25">
      <c r="Q33">
        <v>26</v>
      </c>
      <c r="R33" s="73">
        <f t="shared" si="0"/>
        <v>21</v>
      </c>
      <c r="S33" s="71">
        <f t="shared" si="1"/>
        <v>2.6</v>
      </c>
      <c r="T33" s="71">
        <f t="shared" si="2"/>
        <v>12</v>
      </c>
      <c r="U33" s="74">
        <f t="shared" si="3"/>
        <v>4.55</v>
      </c>
      <c r="V33" s="73">
        <f>IF(Variable_Management!$B$20=3,2,IF((S33*R33/T33)&lt;((T33*(1-(T33/R33)))/(2*Lm*Fsw)),1,2))</f>
        <v>2</v>
      </c>
      <c r="W33" s="71">
        <f t="shared" si="13"/>
        <v>0.4285714285714286</v>
      </c>
      <c r="X33" s="74">
        <f t="shared" si="4"/>
        <v>0.5714285714285714</v>
      </c>
      <c r="Y33" s="73">
        <f t="shared" si="5"/>
        <v>2.5714285714285716</v>
      </c>
      <c r="Z33" s="71">
        <f t="shared" si="30"/>
        <v>5.8357142857142854</v>
      </c>
      <c r="AA33" s="71">
        <f t="shared" si="31"/>
        <v>4.6101540547104563</v>
      </c>
      <c r="AB33" s="71">
        <v>0</v>
      </c>
      <c r="AC33" s="71">
        <f t="shared" si="6"/>
        <v>2.9329858163265301E-2</v>
      </c>
      <c r="AD33" s="74">
        <f t="shared" si="16"/>
        <v>2.9329858163265301E-2</v>
      </c>
      <c r="AE33" s="73">
        <f t="shared" si="29"/>
        <v>1.9500000000000002</v>
      </c>
      <c r="AF33" s="71">
        <f t="shared" si="17"/>
        <v>3.0180542744454653</v>
      </c>
      <c r="AG33" s="71">
        <f t="shared" si="7"/>
        <v>8.0156134110787189E-2</v>
      </c>
      <c r="AH33" s="71">
        <f t="shared" si="18"/>
        <v>1.7854860876693834</v>
      </c>
      <c r="AI33" s="74">
        <f t="shared" si="19"/>
        <v>1.8656422217801707</v>
      </c>
      <c r="AJ33" s="73">
        <f t="shared" si="20"/>
        <v>2.5999999999999996</v>
      </c>
      <c r="AK33" s="71">
        <f t="shared" si="21"/>
        <v>3.4849488955599797</v>
      </c>
      <c r="AL33" s="71">
        <f t="shared" si="8"/>
        <v>0.10687484548104956</v>
      </c>
      <c r="AM33" s="71">
        <f t="shared" si="22"/>
        <v>1.4388000000000003</v>
      </c>
      <c r="AN33" s="188">
        <f t="shared" si="23"/>
        <v>0.18674285714285713</v>
      </c>
      <c r="AO33" s="74">
        <f t="shared" si="24"/>
        <v>1.7324177026239069</v>
      </c>
      <c r="AP33" s="73">
        <f t="shared" si="25"/>
        <v>3.1880280612244891E-2</v>
      </c>
      <c r="AQ33" s="206">
        <f t="shared" si="9"/>
        <v>2.9329858163265301E-2</v>
      </c>
      <c r="AR33" s="206">
        <f t="shared" si="10"/>
        <v>0.88447929873185172</v>
      </c>
      <c r="AS33" s="71">
        <f t="shared" si="11"/>
        <v>0.19999999999999998</v>
      </c>
      <c r="AT33" s="74">
        <f t="shared" si="12"/>
        <v>3.96E-5</v>
      </c>
      <c r="AU33" s="73">
        <f t="shared" si="26"/>
        <v>4.7731188200747052</v>
      </c>
      <c r="AV33" s="71">
        <f t="shared" si="27"/>
        <v>54.6</v>
      </c>
      <c r="AW33" s="74">
        <f t="shared" si="28"/>
        <v>91.960808333920866</v>
      </c>
    </row>
    <row r="34" spans="17:49" x14ac:dyDescent="0.25">
      <c r="Q34">
        <v>27</v>
      </c>
      <c r="R34" s="73">
        <f t="shared" si="0"/>
        <v>21</v>
      </c>
      <c r="S34" s="71">
        <f t="shared" si="1"/>
        <v>2.7</v>
      </c>
      <c r="T34" s="71">
        <f t="shared" si="2"/>
        <v>12</v>
      </c>
      <c r="U34" s="74">
        <f t="shared" si="3"/>
        <v>4.7250000000000005</v>
      </c>
      <c r="V34" s="73">
        <f>IF(Variable_Management!$B$20=3,2,IF((S34*R34/T34)&lt;((T34*(1-(T34/R34)))/(2*Lm*Fsw)),1,2))</f>
        <v>2</v>
      </c>
      <c r="W34" s="71">
        <f t="shared" si="13"/>
        <v>0.4285714285714286</v>
      </c>
      <c r="X34" s="74">
        <f t="shared" si="4"/>
        <v>0.5714285714285714</v>
      </c>
      <c r="Y34" s="73">
        <f t="shared" si="5"/>
        <v>2.5714285714285716</v>
      </c>
      <c r="Z34" s="71">
        <f t="shared" si="30"/>
        <v>6.0107142857142861</v>
      </c>
      <c r="AA34" s="71">
        <f t="shared" si="31"/>
        <v>4.7829536280590546</v>
      </c>
      <c r="AB34" s="71">
        <v>0</v>
      </c>
      <c r="AC34" s="71">
        <f t="shared" si="6"/>
        <v>3.1569770663265315E-2</v>
      </c>
      <c r="AD34" s="74">
        <f t="shared" si="16"/>
        <v>3.1569770663265315E-2</v>
      </c>
      <c r="AE34" s="73">
        <f t="shared" si="29"/>
        <v>2.0250000000000004</v>
      </c>
      <c r="AF34" s="71">
        <f t="shared" si="17"/>
        <v>3.1311781494348967</v>
      </c>
      <c r="AG34" s="71">
        <f t="shared" si="7"/>
        <v>8.6277634110787205E-2</v>
      </c>
      <c r="AH34" s="71">
        <f t="shared" si="18"/>
        <v>1.8541586295028216</v>
      </c>
      <c r="AI34" s="74">
        <f t="shared" si="19"/>
        <v>1.9404362636136088</v>
      </c>
      <c r="AJ34" s="73">
        <f t="shared" si="20"/>
        <v>2.7</v>
      </c>
      <c r="AK34" s="71">
        <f t="shared" si="21"/>
        <v>3.6155730949138238</v>
      </c>
      <c r="AL34" s="71">
        <f t="shared" si="8"/>
        <v>0.1150368454810496</v>
      </c>
      <c r="AM34" s="71">
        <f t="shared" si="22"/>
        <v>1.4388000000000003</v>
      </c>
      <c r="AN34" s="188">
        <f t="shared" si="23"/>
        <v>0.19234285714285715</v>
      </c>
      <c r="AO34" s="74">
        <f t="shared" si="24"/>
        <v>1.746179702623907</v>
      </c>
      <c r="AP34" s="73">
        <f t="shared" si="25"/>
        <v>3.4314968112244909E-2</v>
      </c>
      <c r="AQ34" s="206">
        <f t="shared" si="9"/>
        <v>3.1569770663265315E-2</v>
      </c>
      <c r="AR34" s="206">
        <f t="shared" si="10"/>
        <v>0.88447929873185172</v>
      </c>
      <c r="AS34" s="71">
        <f t="shared" si="11"/>
        <v>0.19999999999999998</v>
      </c>
      <c r="AT34" s="74">
        <f t="shared" si="12"/>
        <v>3.96E-5</v>
      </c>
      <c r="AU34" s="73">
        <f t="shared" si="26"/>
        <v>4.8685893744081437</v>
      </c>
      <c r="AV34" s="71">
        <f t="shared" si="27"/>
        <v>56.7</v>
      </c>
      <c r="AW34" s="74">
        <f t="shared" si="28"/>
        <v>92.092413641635517</v>
      </c>
    </row>
    <row r="35" spans="17:49" x14ac:dyDescent="0.25">
      <c r="Q35">
        <v>28</v>
      </c>
      <c r="R35" s="73">
        <f t="shared" si="0"/>
        <v>21</v>
      </c>
      <c r="S35" s="71">
        <f t="shared" si="1"/>
        <v>2.8000000000000003</v>
      </c>
      <c r="T35" s="71">
        <f t="shared" si="2"/>
        <v>12</v>
      </c>
      <c r="U35" s="74">
        <f t="shared" si="3"/>
        <v>4.9000000000000004</v>
      </c>
      <c r="V35" s="73">
        <f>IF(Variable_Management!$B$20=3,2,IF((S35*R35/T35)&lt;((T35*(1-(T35/R35)))/(2*Lm*Fsw)),1,2))</f>
        <v>2</v>
      </c>
      <c r="W35" s="71">
        <f t="shared" si="13"/>
        <v>0.4285714285714286</v>
      </c>
      <c r="X35" s="74">
        <f t="shared" si="4"/>
        <v>0.5714285714285714</v>
      </c>
      <c r="Y35" s="73">
        <f t="shared" si="5"/>
        <v>2.5714285714285716</v>
      </c>
      <c r="Z35" s="71">
        <f t="shared" si="30"/>
        <v>6.1857142857142859</v>
      </c>
      <c r="AA35" s="71">
        <f t="shared" si="31"/>
        <v>4.9559076270813671</v>
      </c>
      <c r="AB35" s="71">
        <v>0</v>
      </c>
      <c r="AC35" s="71">
        <f t="shared" si="6"/>
        <v>3.3894208163265306E-2</v>
      </c>
      <c r="AD35" s="74">
        <f t="shared" si="16"/>
        <v>3.3894208163265306E-2</v>
      </c>
      <c r="AE35" s="73">
        <f t="shared" si="29"/>
        <v>2.1</v>
      </c>
      <c r="AF35" s="71">
        <f t="shared" si="17"/>
        <v>3.2444031197584779</v>
      </c>
      <c r="AG35" s="71">
        <f t="shared" si="7"/>
        <v>9.2630134110787188E-2</v>
      </c>
      <c r="AH35" s="71">
        <f t="shared" si="18"/>
        <v>1.9228311713362591</v>
      </c>
      <c r="AI35" s="74">
        <f t="shared" si="19"/>
        <v>2.0154613054470465</v>
      </c>
      <c r="AJ35" s="73">
        <f t="shared" si="20"/>
        <v>2.8000000000000003</v>
      </c>
      <c r="AK35" s="71">
        <f t="shared" si="21"/>
        <v>3.746314029104437</v>
      </c>
      <c r="AL35" s="71">
        <f t="shared" si="8"/>
        <v>0.12350684548104954</v>
      </c>
      <c r="AM35" s="71">
        <f t="shared" si="22"/>
        <v>1.4388000000000003</v>
      </c>
      <c r="AN35" s="188">
        <f t="shared" si="23"/>
        <v>0.19794285714285714</v>
      </c>
      <c r="AO35" s="74">
        <f t="shared" si="24"/>
        <v>1.760249702623907</v>
      </c>
      <c r="AP35" s="73">
        <f t="shared" si="25"/>
        <v>3.6841530612244898E-2</v>
      </c>
      <c r="AQ35" s="206">
        <f t="shared" si="9"/>
        <v>3.3894208163265306E-2</v>
      </c>
      <c r="AR35" s="206">
        <f t="shared" si="10"/>
        <v>0.88447929873185172</v>
      </c>
      <c r="AS35" s="71">
        <f t="shared" si="11"/>
        <v>0.19999999999999998</v>
      </c>
      <c r="AT35" s="74">
        <f t="shared" si="12"/>
        <v>3.96E-5</v>
      </c>
      <c r="AU35" s="73">
        <f t="shared" si="26"/>
        <v>4.9648598537415811</v>
      </c>
      <c r="AV35" s="71">
        <f t="shared" si="27"/>
        <v>58.800000000000004</v>
      </c>
      <c r="AW35" s="74">
        <f t="shared" si="28"/>
        <v>92.213799473362684</v>
      </c>
    </row>
    <row r="36" spans="17:49" x14ac:dyDescent="0.25">
      <c r="Q36">
        <v>29</v>
      </c>
      <c r="R36" s="73">
        <f t="shared" si="0"/>
        <v>21</v>
      </c>
      <c r="S36" s="71">
        <f t="shared" si="1"/>
        <v>2.9000000000000004</v>
      </c>
      <c r="T36" s="71">
        <f t="shared" si="2"/>
        <v>12</v>
      </c>
      <c r="U36" s="74">
        <f t="shared" si="3"/>
        <v>5.0750000000000002</v>
      </c>
      <c r="V36" s="73">
        <f>IF(Variable_Management!$B$20=3,2,IF((S36*R36/T36)&lt;((T36*(1-(T36/R36)))/(2*Lm*Fsw)),1,2))</f>
        <v>2</v>
      </c>
      <c r="W36" s="71">
        <f t="shared" si="13"/>
        <v>0.4285714285714286</v>
      </c>
      <c r="X36" s="74">
        <f t="shared" si="4"/>
        <v>0.5714285714285714</v>
      </c>
      <c r="Y36" s="73">
        <f t="shared" si="5"/>
        <v>2.5714285714285716</v>
      </c>
      <c r="Z36" s="71">
        <f t="shared" si="30"/>
        <v>6.3607142857142858</v>
      </c>
      <c r="AA36" s="71">
        <f t="shared" si="31"/>
        <v>5.1290004297292926</v>
      </c>
      <c r="AB36" s="71">
        <v>0</v>
      </c>
      <c r="AC36" s="71">
        <f t="shared" si="6"/>
        <v>3.6303170663265313E-2</v>
      </c>
      <c r="AD36" s="74">
        <f t="shared" si="16"/>
        <v>3.6303170663265313E-2</v>
      </c>
      <c r="AE36" s="73">
        <f t="shared" si="29"/>
        <v>2.1750000000000003</v>
      </c>
      <c r="AF36" s="71">
        <f t="shared" si="17"/>
        <v>3.3577189583850737</v>
      </c>
      <c r="AG36" s="71">
        <f t="shared" si="7"/>
        <v>9.9213634110787194E-2</v>
      </c>
      <c r="AH36" s="71">
        <f t="shared" si="18"/>
        <v>1.9915037131696969</v>
      </c>
      <c r="AI36" s="74">
        <f t="shared" si="19"/>
        <v>2.0907173472804841</v>
      </c>
      <c r="AJ36" s="73">
        <f t="shared" si="20"/>
        <v>2.9</v>
      </c>
      <c r="AK36" s="71">
        <f t="shared" si="21"/>
        <v>3.877159888973464</v>
      </c>
      <c r="AL36" s="71">
        <f t="shared" si="8"/>
        <v>0.13228484548104957</v>
      </c>
      <c r="AM36" s="71">
        <f t="shared" si="22"/>
        <v>1.4388000000000003</v>
      </c>
      <c r="AN36" s="188">
        <f t="shared" si="23"/>
        <v>0.20354285714285714</v>
      </c>
      <c r="AO36" s="74">
        <f t="shared" si="24"/>
        <v>1.7746277026239072</v>
      </c>
      <c r="AP36" s="73">
        <f t="shared" si="25"/>
        <v>3.9459968112244906E-2</v>
      </c>
      <c r="AQ36" s="206">
        <f t="shared" si="9"/>
        <v>3.6303170663265313E-2</v>
      </c>
      <c r="AR36" s="206">
        <f t="shared" si="10"/>
        <v>0.88447929873185172</v>
      </c>
      <c r="AS36" s="71">
        <f t="shared" si="11"/>
        <v>0.19999999999999998</v>
      </c>
      <c r="AT36" s="74">
        <f t="shared" si="12"/>
        <v>3.96E-5</v>
      </c>
      <c r="AU36" s="73">
        <f t="shared" si="26"/>
        <v>5.0619302580750185</v>
      </c>
      <c r="AV36" s="71">
        <f t="shared" si="27"/>
        <v>60.900000000000006</v>
      </c>
      <c r="AW36" s="74">
        <f t="shared" si="28"/>
        <v>92.325982216908599</v>
      </c>
    </row>
    <row r="37" spans="17:49" x14ac:dyDescent="0.25">
      <c r="Q37">
        <v>30</v>
      </c>
      <c r="R37" s="73">
        <f t="shared" si="0"/>
        <v>21</v>
      </c>
      <c r="S37" s="71">
        <f t="shared" si="1"/>
        <v>3</v>
      </c>
      <c r="T37" s="71">
        <f t="shared" si="2"/>
        <v>12</v>
      </c>
      <c r="U37" s="74">
        <f t="shared" si="3"/>
        <v>5.25</v>
      </c>
      <c r="V37" s="73">
        <f>IF(Variable_Management!$B$20=3,2,IF((S37*R37/T37)&lt;((T37*(1-(T37/R37)))/(2*Lm*Fsw)),1,2))</f>
        <v>2</v>
      </c>
      <c r="W37" s="71">
        <f t="shared" si="13"/>
        <v>0.4285714285714286</v>
      </c>
      <c r="X37" s="74">
        <f t="shared" si="4"/>
        <v>0.5714285714285714</v>
      </c>
      <c r="Y37" s="73">
        <f t="shared" si="5"/>
        <v>2.5714285714285716</v>
      </c>
      <c r="Z37" s="71">
        <f t="shared" si="30"/>
        <v>6.5357142857142856</v>
      </c>
      <c r="AA37" s="71">
        <f t="shared" si="31"/>
        <v>5.3022184421394094</v>
      </c>
      <c r="AB37" s="71">
        <v>0</v>
      </c>
      <c r="AC37" s="71">
        <f t="shared" si="6"/>
        <v>3.8796658163265302E-2</v>
      </c>
      <c r="AD37" s="74">
        <f t="shared" si="16"/>
        <v>3.8796658163265302E-2</v>
      </c>
      <c r="AE37" s="73">
        <f t="shared" si="29"/>
        <v>2.25</v>
      </c>
      <c r="AF37" s="71">
        <f t="shared" si="17"/>
        <v>3.4711167660420967</v>
      </c>
      <c r="AG37" s="71">
        <f t="shared" si="7"/>
        <v>0.10602813411078719</v>
      </c>
      <c r="AH37" s="71">
        <f t="shared" si="18"/>
        <v>2.0601762550031348</v>
      </c>
      <c r="AI37" s="74">
        <f t="shared" si="19"/>
        <v>2.166204389113922</v>
      </c>
      <c r="AJ37" s="73">
        <f t="shared" si="20"/>
        <v>3</v>
      </c>
      <c r="AK37" s="71">
        <f t="shared" si="21"/>
        <v>4.0081003985260555</v>
      </c>
      <c r="AL37" s="71">
        <f t="shared" si="8"/>
        <v>0.14137084548104961</v>
      </c>
      <c r="AM37" s="71">
        <f t="shared" si="22"/>
        <v>1.4388000000000003</v>
      </c>
      <c r="AN37" s="188">
        <f t="shared" si="23"/>
        <v>0.20914285714285713</v>
      </c>
      <c r="AO37" s="74">
        <f t="shared" si="24"/>
        <v>1.789313702623907</v>
      </c>
      <c r="AP37" s="73">
        <f t="shared" si="25"/>
        <v>4.2170280612244898E-2</v>
      </c>
      <c r="AQ37" s="206">
        <f t="shared" si="9"/>
        <v>3.8796658163265302E-2</v>
      </c>
      <c r="AR37" s="206">
        <f t="shared" si="10"/>
        <v>0.88447929873185172</v>
      </c>
      <c r="AS37" s="71">
        <f t="shared" si="11"/>
        <v>0.19999999999999998</v>
      </c>
      <c r="AT37" s="74">
        <f t="shared" si="12"/>
        <v>3.96E-5</v>
      </c>
      <c r="AU37" s="73">
        <f t="shared" si="26"/>
        <v>5.1598005874084567</v>
      </c>
      <c r="AV37" s="71">
        <f t="shared" si="27"/>
        <v>63</v>
      </c>
      <c r="AW37" s="74">
        <f t="shared" si="28"/>
        <v>92.429847882563124</v>
      </c>
    </row>
    <row r="38" spans="17:49" x14ac:dyDescent="0.25">
      <c r="Q38">
        <v>31</v>
      </c>
      <c r="R38" s="73">
        <f t="shared" si="0"/>
        <v>21</v>
      </c>
      <c r="S38" s="71">
        <f t="shared" si="1"/>
        <v>3.1</v>
      </c>
      <c r="T38" s="71">
        <f t="shared" si="2"/>
        <v>12</v>
      </c>
      <c r="U38" s="74">
        <f t="shared" si="3"/>
        <v>5.4250000000000007</v>
      </c>
      <c r="V38" s="73">
        <f>IF(Variable_Management!$B$20=3,2,IF((S38*R38/T38)&lt;((T38*(1-(T38/R38)))/(2*Lm*Fsw)),1,2))</f>
        <v>2</v>
      </c>
      <c r="W38" s="71">
        <f t="shared" si="13"/>
        <v>0.4285714285714286</v>
      </c>
      <c r="X38" s="74">
        <f t="shared" si="4"/>
        <v>0.5714285714285714</v>
      </c>
      <c r="Y38" s="73">
        <f t="shared" si="5"/>
        <v>2.5714285714285716</v>
      </c>
      <c r="Z38" s="71">
        <f t="shared" si="30"/>
        <v>6.7107142857142863</v>
      </c>
      <c r="AA38" s="71">
        <f t="shared" si="31"/>
        <v>5.475549781361071</v>
      </c>
      <c r="AB38" s="71">
        <v>0</v>
      </c>
      <c r="AC38" s="71">
        <f t="shared" si="6"/>
        <v>4.1374670663265313E-2</v>
      </c>
      <c r="AD38" s="74">
        <f t="shared" si="16"/>
        <v>4.1374670663265313E-2</v>
      </c>
      <c r="AE38" s="73">
        <f t="shared" si="29"/>
        <v>2.3250000000000006</v>
      </c>
      <c r="AF38" s="71">
        <f t="shared" si="17"/>
        <v>3.5845887635122868</v>
      </c>
      <c r="AG38" s="71">
        <f t="shared" si="7"/>
        <v>0.11307363411078721</v>
      </c>
      <c r="AH38" s="71">
        <f t="shared" si="18"/>
        <v>2.1288487968365728</v>
      </c>
      <c r="AI38" s="74">
        <f t="shared" si="19"/>
        <v>2.2419224309473602</v>
      </c>
      <c r="AJ38" s="73">
        <f t="shared" si="20"/>
        <v>3.1</v>
      </c>
      <c r="AK38" s="71">
        <f t="shared" si="21"/>
        <v>4.1391265750958528</v>
      </c>
      <c r="AL38" s="71">
        <f t="shared" si="8"/>
        <v>0.1507648454810496</v>
      </c>
      <c r="AM38" s="71">
        <f t="shared" si="22"/>
        <v>1.4388000000000003</v>
      </c>
      <c r="AN38" s="188">
        <f t="shared" si="23"/>
        <v>0.21474285714285718</v>
      </c>
      <c r="AO38" s="74">
        <f t="shared" si="24"/>
        <v>1.8043077026239069</v>
      </c>
      <c r="AP38" s="73">
        <f t="shared" si="25"/>
        <v>4.4972468112244909E-2</v>
      </c>
      <c r="AQ38" s="206">
        <f t="shared" si="9"/>
        <v>4.1374670663265313E-2</v>
      </c>
      <c r="AR38" s="206">
        <f t="shared" si="10"/>
        <v>0.88447929873185172</v>
      </c>
      <c r="AS38" s="71">
        <f t="shared" si="11"/>
        <v>0.19999999999999998</v>
      </c>
      <c r="AT38" s="74">
        <f t="shared" si="12"/>
        <v>3.96E-5</v>
      </c>
      <c r="AU38" s="73">
        <f t="shared" si="26"/>
        <v>5.2584708417418948</v>
      </c>
      <c r="AV38" s="71">
        <f t="shared" si="27"/>
        <v>65.100000000000009</v>
      </c>
      <c r="AW38" s="74">
        <f t="shared" si="28"/>
        <v>92.526172358734414</v>
      </c>
    </row>
    <row r="39" spans="17:49" x14ac:dyDescent="0.25">
      <c r="Q39">
        <v>32</v>
      </c>
      <c r="R39" s="73">
        <f t="shared" si="0"/>
        <v>21</v>
      </c>
      <c r="S39" s="71">
        <f t="shared" ref="S39:S70" si="32">Q39*$O$12</f>
        <v>3.2</v>
      </c>
      <c r="T39" s="71">
        <f t="shared" si="2"/>
        <v>12</v>
      </c>
      <c r="U39" s="74">
        <f t="shared" ref="U39:U70" si="33">(R39*S39)/(T39*EFF_est)</f>
        <v>5.6000000000000005</v>
      </c>
      <c r="V39" s="73">
        <f>IF(Variable_Management!$B$20=3,2,IF((S39*R39/T39)&lt;((T39*(1-(T39/R39)))/(2*Lm*Fsw)),1,2))</f>
        <v>2</v>
      </c>
      <c r="W39" s="71">
        <f t="shared" ref="W39:W70" si="34">CHOOSE(V39,SQRT((2*S39*Lm*Fsw*(R39-T39))/((T39)^2)),1-(T39/R39))</f>
        <v>0.4285714285714286</v>
      </c>
      <c r="X39" s="74">
        <f t="shared" ref="X39:X70" si="35">CHOOSE(V39,(Lm*Z39*Fsw)/(R39-T39),1-W39)</f>
        <v>0.5714285714285714</v>
      </c>
      <c r="Y39" s="73">
        <f t="shared" ref="Y39:Y70" si="36">(T39*W39)/(Lm*Fsw)</f>
        <v>2.5714285714285716</v>
      </c>
      <c r="Z39" s="71">
        <f t="shared" si="30"/>
        <v>6.8857142857142861</v>
      </c>
      <c r="AA39" s="71">
        <f t="shared" si="31"/>
        <v>5.6489840155698152</v>
      </c>
      <c r="AB39" s="71">
        <v>0</v>
      </c>
      <c r="AC39" s="71">
        <f t="shared" ref="AC39:AC70" si="37">(AA39^2)*Rdcr</f>
        <v>4.4037208163265319E-2</v>
      </c>
      <c r="AD39" s="74">
        <f t="shared" si="16"/>
        <v>4.4037208163265319E-2</v>
      </c>
      <c r="AE39" s="73">
        <f t="shared" si="29"/>
        <v>2.4000000000000004</v>
      </c>
      <c r="AF39" s="71">
        <f t="shared" si="17"/>
        <v>3.6981281215634683</v>
      </c>
      <c r="AG39" s="71">
        <f t="shared" ref="AG39:AG70" si="38">(AF39^2)*RDS_on</f>
        <v>0.12035013411078721</v>
      </c>
      <c r="AH39" s="71">
        <f t="shared" ref="AH39:AH70" si="39">((R39*U39)/2)*Fsw*(tr_sw+tf_sw)</f>
        <v>2.1975213386700108</v>
      </c>
      <c r="AI39" s="74">
        <f t="shared" si="19"/>
        <v>2.3178714727807979</v>
      </c>
      <c r="AJ39" s="73">
        <f t="shared" si="20"/>
        <v>3.2</v>
      </c>
      <c r="AK39" s="71">
        <f t="shared" ref="AK39:AK70" si="40">CHOOSE(V39,Z39*SQRT(X39/3),SQRT(X39*((Z39^2)+((Y39^2)/3)-(Y39*Z39))))</f>
        <v>4.2702305329647867</v>
      </c>
      <c r="AL39" s="71">
        <f t="shared" ref="AL39:AL70" si="41">(AK39^2)*RDS_on_HS</f>
        <v>0.16046684548104959</v>
      </c>
      <c r="AM39" s="71">
        <f t="shared" si="22"/>
        <v>1.4388000000000003</v>
      </c>
      <c r="AN39" s="188">
        <f t="shared" ref="AN39:AN70" si="42">Vd_rect*t_dead*Fsw*Z39</f>
        <v>0.22034285714285717</v>
      </c>
      <c r="AO39" s="74">
        <f t="shared" si="24"/>
        <v>1.8196097026239071</v>
      </c>
      <c r="AP39" s="73">
        <f t="shared" ref="AP39:AP70" si="43">(AA39^2)*R_cs</f>
        <v>4.7866530612244912E-2</v>
      </c>
      <c r="AQ39" s="206">
        <f t="shared" ref="AQ39:AQ70" si="44">Rdcr*AA39^2</f>
        <v>4.4037208163265319E-2</v>
      </c>
      <c r="AR39" s="206">
        <f t="shared" ref="AR39:AR70" si="45">ABS(7.759*10^-3*Fsw^0.9458*(0.00787*Y39)^2.304)</f>
        <v>0.88447929873185172</v>
      </c>
      <c r="AS39" s="71">
        <f t="shared" ref="AS39:AS70" si="46">(Qg_tot+Qg_tot_HS)*Vcc*Fsw</f>
        <v>0.19999999999999998</v>
      </c>
      <c r="AT39" s="74">
        <f t="shared" ref="AT39:AT70" si="47">IQ*T39</f>
        <v>3.96E-5</v>
      </c>
      <c r="AU39" s="73">
        <f t="shared" si="26"/>
        <v>5.3579410210753329</v>
      </c>
      <c r="AV39" s="71">
        <f t="shared" si="27"/>
        <v>67.2</v>
      </c>
      <c r="AW39" s="74">
        <f t="shared" si="28"/>
        <v>92.615638005054393</v>
      </c>
    </row>
    <row r="40" spans="17:49" x14ac:dyDescent="0.25">
      <c r="Q40">
        <v>33</v>
      </c>
      <c r="R40" s="73">
        <f t="shared" si="0"/>
        <v>21</v>
      </c>
      <c r="S40" s="71">
        <f t="shared" si="32"/>
        <v>3.3000000000000003</v>
      </c>
      <c r="T40" s="71">
        <f t="shared" si="2"/>
        <v>12</v>
      </c>
      <c r="U40" s="74">
        <f t="shared" si="33"/>
        <v>5.7750000000000012</v>
      </c>
      <c r="V40" s="73">
        <f>IF(Variable_Management!$B$20=3,2,IF((S40*R40/T40)&lt;((T40*(1-(T40/R40)))/(2*Lm*Fsw)),1,2))</f>
        <v>2</v>
      </c>
      <c r="W40" s="71">
        <f t="shared" si="34"/>
        <v>0.4285714285714286</v>
      </c>
      <c r="X40" s="74">
        <f t="shared" si="35"/>
        <v>0.5714285714285714</v>
      </c>
      <c r="Y40" s="73">
        <f t="shared" si="36"/>
        <v>2.5714285714285716</v>
      </c>
      <c r="Z40" s="71">
        <f t="shared" si="30"/>
        <v>7.0607142857142868</v>
      </c>
      <c r="AA40" s="71">
        <f t="shared" si="31"/>
        <v>5.8225119500232267</v>
      </c>
      <c r="AB40" s="71">
        <v>0</v>
      </c>
      <c r="AC40" s="71">
        <f t="shared" si="37"/>
        <v>4.678427066326532E-2</v>
      </c>
      <c r="AD40" s="74">
        <f t="shared" si="16"/>
        <v>4.678427066326532E-2</v>
      </c>
      <c r="AE40" s="73">
        <f t="shared" si="29"/>
        <v>2.4750000000000005</v>
      </c>
      <c r="AF40" s="71">
        <f t="shared" si="17"/>
        <v>3.8117288208237676</v>
      </c>
      <c r="AG40" s="71">
        <f t="shared" si="38"/>
        <v>0.12785763411078724</v>
      </c>
      <c r="AH40" s="71">
        <f t="shared" si="39"/>
        <v>2.2661938805034487</v>
      </c>
      <c r="AI40" s="74">
        <f t="shared" si="19"/>
        <v>2.3940515146142358</v>
      </c>
      <c r="AJ40" s="73">
        <f t="shared" si="20"/>
        <v>3.3000000000000007</v>
      </c>
      <c r="AK40" s="71">
        <f t="shared" si="40"/>
        <v>4.4014053215609135</v>
      </c>
      <c r="AL40" s="71">
        <f t="shared" si="41"/>
        <v>0.1704768454810496</v>
      </c>
      <c r="AM40" s="71">
        <f t="shared" ref="AM40:AM71" si="48">CHOOSE(V40,(R40+Vd_rect)*Qrr*Fsw,(R40+Vd_rect)*Qrr*Fsw)</f>
        <v>1.4388000000000003</v>
      </c>
      <c r="AN40" s="188">
        <f t="shared" si="42"/>
        <v>0.2259428571428572</v>
      </c>
      <c r="AO40" s="74">
        <f t="shared" si="24"/>
        <v>1.8352197026239072</v>
      </c>
      <c r="AP40" s="73">
        <f t="shared" si="43"/>
        <v>5.0852468112244913E-2</v>
      </c>
      <c r="AQ40" s="206">
        <f t="shared" si="44"/>
        <v>4.678427066326532E-2</v>
      </c>
      <c r="AR40" s="206">
        <f t="shared" si="45"/>
        <v>0.88447929873185172</v>
      </c>
      <c r="AS40" s="71">
        <f t="shared" si="46"/>
        <v>0.19999999999999998</v>
      </c>
      <c r="AT40" s="74">
        <f t="shared" si="47"/>
        <v>3.96E-5</v>
      </c>
      <c r="AU40" s="73">
        <f t="shared" si="26"/>
        <v>5.4582111254087708</v>
      </c>
      <c r="AV40" s="71">
        <f t="shared" si="27"/>
        <v>69.300000000000011</v>
      </c>
      <c r="AW40" s="74">
        <f t="shared" si="28"/>
        <v>92.698847332967233</v>
      </c>
    </row>
    <row r="41" spans="17:49" x14ac:dyDescent="0.25">
      <c r="Q41">
        <v>34</v>
      </c>
      <c r="R41" s="73">
        <f t="shared" si="0"/>
        <v>21</v>
      </c>
      <c r="S41" s="71">
        <f t="shared" si="32"/>
        <v>3.4000000000000004</v>
      </c>
      <c r="T41" s="71">
        <f t="shared" si="2"/>
        <v>12</v>
      </c>
      <c r="U41" s="74">
        <f t="shared" si="33"/>
        <v>5.95</v>
      </c>
      <c r="V41" s="73">
        <f>IF(Variable_Management!$B$20=3,2,IF((S41*R41/T41)&lt;((T41*(1-(T41/R41)))/(2*Lm*Fsw)),1,2))</f>
        <v>2</v>
      </c>
      <c r="W41" s="71">
        <f t="shared" si="34"/>
        <v>0.4285714285714286</v>
      </c>
      <c r="X41" s="74">
        <f t="shared" si="35"/>
        <v>0.5714285714285714</v>
      </c>
      <c r="Y41" s="73">
        <f t="shared" si="36"/>
        <v>2.5714285714285716</v>
      </c>
      <c r="Z41" s="71">
        <f t="shared" si="30"/>
        <v>7.2357142857142858</v>
      </c>
      <c r="AA41" s="71">
        <f t="shared" si="31"/>
        <v>5.9961254496685834</v>
      </c>
      <c r="AB41" s="71">
        <v>0</v>
      </c>
      <c r="AC41" s="71">
        <f t="shared" si="37"/>
        <v>4.961585816326531E-2</v>
      </c>
      <c r="AD41" s="74">
        <f t="shared" si="16"/>
        <v>4.961585816326531E-2</v>
      </c>
      <c r="AE41" s="73">
        <f t="shared" si="29"/>
        <v>2.5500000000000003</v>
      </c>
      <c r="AF41" s="71">
        <f t="shared" si="17"/>
        <v>3.9253855356510585</v>
      </c>
      <c r="AG41" s="71">
        <f t="shared" si="38"/>
        <v>0.13559613411078722</v>
      </c>
      <c r="AH41" s="71">
        <f t="shared" si="39"/>
        <v>2.3348664223368862</v>
      </c>
      <c r="AI41" s="74">
        <f t="shared" si="19"/>
        <v>2.4704625564476737</v>
      </c>
      <c r="AJ41" s="73">
        <f t="shared" si="20"/>
        <v>3.4</v>
      </c>
      <c r="AK41" s="71">
        <f t="shared" si="40"/>
        <v>4.5326447913624035</v>
      </c>
      <c r="AL41" s="71">
        <f t="shared" si="41"/>
        <v>0.1807948454810496</v>
      </c>
      <c r="AM41" s="71">
        <f t="shared" si="48"/>
        <v>1.4388000000000003</v>
      </c>
      <c r="AN41" s="188">
        <f t="shared" si="42"/>
        <v>0.23154285714285716</v>
      </c>
      <c r="AO41" s="74">
        <f t="shared" si="24"/>
        <v>1.8511377026239071</v>
      </c>
      <c r="AP41" s="73">
        <f t="shared" si="43"/>
        <v>5.3930280612244905E-2</v>
      </c>
      <c r="AQ41" s="206">
        <f t="shared" si="44"/>
        <v>4.961585816326531E-2</v>
      </c>
      <c r="AR41" s="206">
        <f t="shared" si="45"/>
        <v>0.88447929873185172</v>
      </c>
      <c r="AS41" s="71">
        <f t="shared" si="46"/>
        <v>0.19999999999999998</v>
      </c>
      <c r="AT41" s="74">
        <f t="shared" si="47"/>
        <v>3.96E-5</v>
      </c>
      <c r="AU41" s="73">
        <f t="shared" si="26"/>
        <v>5.5592811547422079</v>
      </c>
      <c r="AV41" s="71">
        <f t="shared" si="27"/>
        <v>71.400000000000006</v>
      </c>
      <c r="AW41" s="74">
        <f t="shared" si="28"/>
        <v>92.776334353274237</v>
      </c>
    </row>
    <row r="42" spans="17:49" x14ac:dyDescent="0.25">
      <c r="Q42">
        <v>35</v>
      </c>
      <c r="R42" s="73">
        <f t="shared" si="0"/>
        <v>21</v>
      </c>
      <c r="S42" s="71">
        <f t="shared" si="32"/>
        <v>3.5</v>
      </c>
      <c r="T42" s="71">
        <f t="shared" si="2"/>
        <v>12</v>
      </c>
      <c r="U42" s="74">
        <f t="shared" si="33"/>
        <v>6.125</v>
      </c>
      <c r="V42" s="73">
        <f>IF(Variable_Management!$B$20=3,2,IF((S42*R42/T42)&lt;((T42*(1-(T42/R42)))/(2*Lm*Fsw)),1,2))</f>
        <v>2</v>
      </c>
      <c r="W42" s="71">
        <f t="shared" si="34"/>
        <v>0.4285714285714286</v>
      </c>
      <c r="X42" s="74">
        <f t="shared" si="35"/>
        <v>0.5714285714285714</v>
      </c>
      <c r="Y42" s="73">
        <f t="shared" si="36"/>
        <v>2.5714285714285716</v>
      </c>
      <c r="Z42" s="71">
        <f t="shared" si="30"/>
        <v>7.4107142857142856</v>
      </c>
      <c r="AA42" s="71">
        <f t="shared" si="31"/>
        <v>6.1698172913112481</v>
      </c>
      <c r="AB42" s="71">
        <v>0</v>
      </c>
      <c r="AC42" s="71">
        <f t="shared" si="37"/>
        <v>5.2531970663265308E-2</v>
      </c>
      <c r="AD42" s="74">
        <f t="shared" si="16"/>
        <v>5.2531970663265308E-2</v>
      </c>
      <c r="AE42" s="73">
        <f t="shared" si="29"/>
        <v>2.625</v>
      </c>
      <c r="AF42" s="71">
        <f t="shared" si="17"/>
        <v>4.0390935373544572</v>
      </c>
      <c r="AG42" s="71">
        <f t="shared" si="38"/>
        <v>0.14356563411078718</v>
      </c>
      <c r="AH42" s="71">
        <f t="shared" si="39"/>
        <v>2.4035389641703238</v>
      </c>
      <c r="AI42" s="74">
        <f t="shared" si="19"/>
        <v>2.5471045982811109</v>
      </c>
      <c r="AJ42" s="73">
        <f t="shared" si="20"/>
        <v>3.5</v>
      </c>
      <c r="AK42" s="71">
        <f t="shared" si="40"/>
        <v>4.6639434821473476</v>
      </c>
      <c r="AL42" s="71">
        <f t="shared" si="41"/>
        <v>0.1914208454810496</v>
      </c>
      <c r="AM42" s="71">
        <f t="shared" si="48"/>
        <v>1.4388000000000003</v>
      </c>
      <c r="AN42" s="188">
        <f t="shared" si="42"/>
        <v>0.23714285714285716</v>
      </c>
      <c r="AO42" s="74">
        <f t="shared" si="24"/>
        <v>1.8673637026239069</v>
      </c>
      <c r="AP42" s="73">
        <f t="shared" si="43"/>
        <v>5.7099968112244902E-2</v>
      </c>
      <c r="AQ42" s="206">
        <f t="shared" si="44"/>
        <v>5.2531970663265308E-2</v>
      </c>
      <c r="AR42" s="206">
        <f t="shared" si="45"/>
        <v>0.88447929873185172</v>
      </c>
      <c r="AS42" s="71">
        <f t="shared" si="46"/>
        <v>0.19999999999999998</v>
      </c>
      <c r="AT42" s="74">
        <f t="shared" si="47"/>
        <v>3.96E-5</v>
      </c>
      <c r="AU42" s="73">
        <f t="shared" si="26"/>
        <v>5.6611511090756457</v>
      </c>
      <c r="AV42" s="71">
        <f t="shared" si="27"/>
        <v>73.5</v>
      </c>
      <c r="AW42" s="74">
        <f t="shared" si="28"/>
        <v>92.84857404198786</v>
      </c>
    </row>
    <row r="43" spans="17:49" x14ac:dyDescent="0.25">
      <c r="Q43">
        <v>36</v>
      </c>
      <c r="R43" s="73">
        <f t="shared" si="0"/>
        <v>21</v>
      </c>
      <c r="S43" s="71">
        <f t="shared" si="32"/>
        <v>3.6</v>
      </c>
      <c r="T43" s="71">
        <f t="shared" si="2"/>
        <v>12</v>
      </c>
      <c r="U43" s="74">
        <f t="shared" si="33"/>
        <v>6.3000000000000007</v>
      </c>
      <c r="V43" s="73">
        <f>IF(Variable_Management!$B$20=3,2,IF((S43*R43/T43)&lt;((T43*(1-(T43/R43)))/(2*Lm*Fsw)),1,2))</f>
        <v>2</v>
      </c>
      <c r="W43" s="71">
        <f t="shared" si="34"/>
        <v>0.4285714285714286</v>
      </c>
      <c r="X43" s="74">
        <f t="shared" si="35"/>
        <v>0.5714285714285714</v>
      </c>
      <c r="Y43" s="73">
        <f t="shared" si="36"/>
        <v>2.5714285714285716</v>
      </c>
      <c r="Z43" s="71">
        <f t="shared" si="30"/>
        <v>7.5857142857142863</v>
      </c>
      <c r="AA43" s="71">
        <f t="shared" si="31"/>
        <v>6.3435810397726673</v>
      </c>
      <c r="AB43" s="71">
        <v>0</v>
      </c>
      <c r="AC43" s="71">
        <f t="shared" si="37"/>
        <v>5.5532608163265315E-2</v>
      </c>
      <c r="AD43" s="74">
        <f t="shared" si="16"/>
        <v>5.5532608163265315E-2</v>
      </c>
      <c r="AE43" s="73">
        <f t="shared" si="29"/>
        <v>2.7000000000000006</v>
      </c>
      <c r="AF43" s="71">
        <f t="shared" si="17"/>
        <v>4.1528486131207032</v>
      </c>
      <c r="AG43" s="71">
        <f t="shared" si="38"/>
        <v>0.15176613411078721</v>
      </c>
      <c r="AH43" s="71">
        <f t="shared" si="39"/>
        <v>2.4722115060037622</v>
      </c>
      <c r="AI43" s="74">
        <f t="shared" si="19"/>
        <v>2.6239776401145494</v>
      </c>
      <c r="AJ43" s="73">
        <f t="shared" si="20"/>
        <v>3.6</v>
      </c>
      <c r="AK43" s="71">
        <f t="shared" si="40"/>
        <v>4.7952965293780032</v>
      </c>
      <c r="AL43" s="71">
        <f t="shared" si="41"/>
        <v>0.20235484548104957</v>
      </c>
      <c r="AM43" s="71">
        <f t="shared" si="48"/>
        <v>1.4388000000000003</v>
      </c>
      <c r="AN43" s="188">
        <f t="shared" si="42"/>
        <v>0.24274285714285718</v>
      </c>
      <c r="AO43" s="74">
        <f t="shared" si="24"/>
        <v>1.883897702623907</v>
      </c>
      <c r="AP43" s="73">
        <f t="shared" si="43"/>
        <v>6.0361530612244911E-2</v>
      </c>
      <c r="AQ43" s="206">
        <f t="shared" si="44"/>
        <v>5.5532608163265315E-2</v>
      </c>
      <c r="AR43" s="206">
        <f t="shared" si="45"/>
        <v>0.88447929873185172</v>
      </c>
      <c r="AS43" s="71">
        <f t="shared" si="46"/>
        <v>0.19999999999999998</v>
      </c>
      <c r="AT43" s="74">
        <f t="shared" si="47"/>
        <v>3.96E-5</v>
      </c>
      <c r="AU43" s="73">
        <f t="shared" si="26"/>
        <v>5.7638209884090825</v>
      </c>
      <c r="AV43" s="71">
        <f t="shared" si="27"/>
        <v>75.600000000000009</v>
      </c>
      <c r="AW43" s="74">
        <f t="shared" si="28"/>
        <v>92.915990278738036</v>
      </c>
    </row>
    <row r="44" spans="17:49" x14ac:dyDescent="0.25">
      <c r="Q44">
        <v>37</v>
      </c>
      <c r="R44" s="73">
        <f t="shared" si="0"/>
        <v>21</v>
      </c>
      <c r="S44" s="71">
        <f t="shared" si="32"/>
        <v>3.7</v>
      </c>
      <c r="T44" s="71">
        <f t="shared" si="2"/>
        <v>12</v>
      </c>
      <c r="U44" s="74">
        <f t="shared" si="33"/>
        <v>6.4750000000000005</v>
      </c>
      <c r="V44" s="73">
        <f>IF(Variable_Management!$B$20=3,2,IF((S44*R44/T44)&lt;((T44*(1-(T44/R44)))/(2*Lm*Fsw)),1,2))</f>
        <v>2</v>
      </c>
      <c r="W44" s="71">
        <f t="shared" si="34"/>
        <v>0.4285714285714286</v>
      </c>
      <c r="X44" s="74">
        <f t="shared" si="35"/>
        <v>0.5714285714285714</v>
      </c>
      <c r="Y44" s="73">
        <f t="shared" si="36"/>
        <v>2.5714285714285716</v>
      </c>
      <c r="Z44" s="71">
        <f t="shared" si="30"/>
        <v>7.7607142857142861</v>
      </c>
      <c r="AA44" s="71">
        <f t="shared" si="31"/>
        <v>6.5174109436311651</v>
      </c>
      <c r="AB44" s="71">
        <v>0</v>
      </c>
      <c r="AC44" s="71">
        <f t="shared" si="37"/>
        <v>5.861777066326531E-2</v>
      </c>
      <c r="AD44" s="74">
        <f t="shared" si="16"/>
        <v>5.861777066326531E-2</v>
      </c>
      <c r="AE44" s="73">
        <f t="shared" si="29"/>
        <v>2.7750000000000004</v>
      </c>
      <c r="AF44" s="71">
        <f t="shared" si="17"/>
        <v>4.2666469977604828</v>
      </c>
      <c r="AG44" s="71">
        <f t="shared" si="38"/>
        <v>0.16019763411078719</v>
      </c>
      <c r="AH44" s="71">
        <f t="shared" si="39"/>
        <v>2.5408840478372001</v>
      </c>
      <c r="AI44" s="74">
        <f t="shared" si="19"/>
        <v>2.7010816819479873</v>
      </c>
      <c r="AJ44" s="73">
        <f t="shared" si="20"/>
        <v>3.7</v>
      </c>
      <c r="AK44" s="71">
        <f t="shared" si="40"/>
        <v>4.9266995853882465</v>
      </c>
      <c r="AL44" s="71">
        <f t="shared" si="41"/>
        <v>0.21359684548104954</v>
      </c>
      <c r="AM44" s="71">
        <f t="shared" si="48"/>
        <v>1.4388000000000003</v>
      </c>
      <c r="AN44" s="188">
        <f t="shared" si="42"/>
        <v>0.24834285714285717</v>
      </c>
      <c r="AO44" s="74">
        <f t="shared" si="24"/>
        <v>1.900739702623907</v>
      </c>
      <c r="AP44" s="73">
        <f t="shared" si="43"/>
        <v>6.3714968112244905E-2</v>
      </c>
      <c r="AQ44" s="206">
        <f t="shared" si="44"/>
        <v>5.861777066326531E-2</v>
      </c>
      <c r="AR44" s="206">
        <f t="shared" si="45"/>
        <v>0.88447929873185172</v>
      </c>
      <c r="AS44" s="71">
        <f t="shared" si="46"/>
        <v>0.19999999999999998</v>
      </c>
      <c r="AT44" s="74">
        <f t="shared" si="47"/>
        <v>3.96E-5</v>
      </c>
      <c r="AU44" s="73">
        <f t="shared" si="26"/>
        <v>5.867290792742522</v>
      </c>
      <c r="AV44" s="71">
        <f t="shared" si="27"/>
        <v>77.7</v>
      </c>
      <c r="AW44" s="74">
        <f t="shared" si="28"/>
        <v>92.978962537753986</v>
      </c>
    </row>
    <row r="45" spans="17:49" x14ac:dyDescent="0.25">
      <c r="Q45">
        <v>38</v>
      </c>
      <c r="R45" s="73">
        <f t="shared" si="0"/>
        <v>21</v>
      </c>
      <c r="S45" s="71">
        <f t="shared" si="32"/>
        <v>3.8000000000000003</v>
      </c>
      <c r="T45" s="71">
        <f t="shared" si="2"/>
        <v>12</v>
      </c>
      <c r="U45" s="74">
        <f t="shared" si="33"/>
        <v>6.6500000000000012</v>
      </c>
      <c r="V45" s="73">
        <f>IF(Variable_Management!$B$20=3,2,IF((S45*R45/T45)&lt;((T45*(1-(T45/R45)))/(2*Lm*Fsw)),1,2))</f>
        <v>2</v>
      </c>
      <c r="W45" s="71">
        <f t="shared" si="34"/>
        <v>0.4285714285714286</v>
      </c>
      <c r="X45" s="74">
        <f t="shared" si="35"/>
        <v>0.5714285714285714</v>
      </c>
      <c r="Y45" s="73">
        <f t="shared" si="36"/>
        <v>2.5714285714285716</v>
      </c>
      <c r="Z45" s="71">
        <f t="shared" si="30"/>
        <v>7.9357142857142868</v>
      </c>
      <c r="AA45" s="71">
        <f t="shared" si="31"/>
        <v>6.6913018470371881</v>
      </c>
      <c r="AB45" s="71">
        <v>0</v>
      </c>
      <c r="AC45" s="71">
        <f t="shared" si="37"/>
        <v>6.1787458163265328E-2</v>
      </c>
      <c r="AD45" s="74">
        <f t="shared" si="16"/>
        <v>6.1787458163265328E-2</v>
      </c>
      <c r="AE45" s="73">
        <f t="shared" si="29"/>
        <v>2.8500000000000005</v>
      </c>
      <c r="AF45" s="71">
        <f t="shared" si="17"/>
        <v>4.3804853159779631</v>
      </c>
      <c r="AG45" s="71">
        <f t="shared" si="38"/>
        <v>0.16886013411078729</v>
      </c>
      <c r="AH45" s="71">
        <f t="shared" si="39"/>
        <v>2.6095565896706381</v>
      </c>
      <c r="AI45" s="74">
        <f t="shared" si="19"/>
        <v>2.7784167237814255</v>
      </c>
      <c r="AJ45" s="73">
        <f t="shared" si="20"/>
        <v>3.8000000000000007</v>
      </c>
      <c r="AK45" s="71">
        <f t="shared" si="40"/>
        <v>5.0581487527221594</v>
      </c>
      <c r="AL45" s="71">
        <f t="shared" si="41"/>
        <v>0.22514684548104968</v>
      </c>
      <c r="AM45" s="71">
        <f t="shared" si="48"/>
        <v>1.4388000000000003</v>
      </c>
      <c r="AN45" s="188">
        <f t="shared" si="42"/>
        <v>0.25394285714285719</v>
      </c>
      <c r="AO45" s="74">
        <f t="shared" si="24"/>
        <v>1.9178897026239072</v>
      </c>
      <c r="AP45" s="73">
        <f t="shared" si="43"/>
        <v>6.7160280612244924E-2</v>
      </c>
      <c r="AQ45" s="206">
        <f t="shared" si="44"/>
        <v>6.1787458163265328E-2</v>
      </c>
      <c r="AR45" s="206">
        <f t="shared" si="45"/>
        <v>0.88447929873185172</v>
      </c>
      <c r="AS45" s="71">
        <f t="shared" si="46"/>
        <v>0.19999999999999998</v>
      </c>
      <c r="AT45" s="74">
        <f t="shared" si="47"/>
        <v>3.96E-5</v>
      </c>
      <c r="AU45" s="73">
        <f t="shared" si="26"/>
        <v>5.9715605220759604</v>
      </c>
      <c r="AV45" s="71">
        <f t="shared" si="27"/>
        <v>79.800000000000011</v>
      </c>
      <c r="AW45" s="74">
        <f t="shared" si="28"/>
        <v>93.037831554272586</v>
      </c>
    </row>
    <row r="46" spans="17:49" x14ac:dyDescent="0.25">
      <c r="Q46">
        <v>39</v>
      </c>
      <c r="R46" s="73">
        <f t="shared" si="0"/>
        <v>21</v>
      </c>
      <c r="S46" s="71">
        <f t="shared" si="32"/>
        <v>3.9000000000000004</v>
      </c>
      <c r="T46" s="71">
        <f t="shared" si="2"/>
        <v>12</v>
      </c>
      <c r="U46" s="74">
        <f t="shared" si="33"/>
        <v>6.8250000000000002</v>
      </c>
      <c r="V46" s="73">
        <f>IF(Variable_Management!$B$20=3,2,IF((S46*R46/T46)&lt;((T46*(1-(T46/R46)))/(2*Lm*Fsw)),1,2))</f>
        <v>2</v>
      </c>
      <c r="W46" s="71">
        <f t="shared" si="34"/>
        <v>0.4285714285714286</v>
      </c>
      <c r="X46" s="74">
        <f t="shared" si="35"/>
        <v>0.5714285714285714</v>
      </c>
      <c r="Y46" s="73">
        <f t="shared" si="36"/>
        <v>2.5714285714285716</v>
      </c>
      <c r="Z46" s="71">
        <f t="shared" si="30"/>
        <v>8.1107142857142858</v>
      </c>
      <c r="AA46" s="71">
        <f t="shared" si="31"/>
        <v>6.8652491147927961</v>
      </c>
      <c r="AB46" s="71">
        <v>0</v>
      </c>
      <c r="AC46" s="71">
        <f t="shared" si="37"/>
        <v>6.5041670663265314E-2</v>
      </c>
      <c r="AD46" s="74">
        <f t="shared" si="16"/>
        <v>6.5041670663265314E-2</v>
      </c>
      <c r="AE46" s="73">
        <f t="shared" si="29"/>
        <v>2.9250000000000003</v>
      </c>
      <c r="AF46" s="71">
        <f t="shared" si="17"/>
        <v>4.4943605333237944</v>
      </c>
      <c r="AG46" s="71">
        <f t="shared" si="38"/>
        <v>0.17775363411078718</v>
      </c>
      <c r="AH46" s="71">
        <f t="shared" si="39"/>
        <v>2.6782291315040756</v>
      </c>
      <c r="AI46" s="74">
        <f t="shared" si="19"/>
        <v>2.8559827656148626</v>
      </c>
      <c r="AJ46" s="73">
        <f t="shared" si="20"/>
        <v>3.9</v>
      </c>
      <c r="AK46" s="71">
        <f t="shared" si="40"/>
        <v>5.1896405274994457</v>
      </c>
      <c r="AL46" s="71">
        <f t="shared" si="41"/>
        <v>0.23700484548104961</v>
      </c>
      <c r="AM46" s="71">
        <f t="shared" si="48"/>
        <v>1.4388000000000003</v>
      </c>
      <c r="AN46" s="188">
        <f t="shared" si="42"/>
        <v>0.25954285714285713</v>
      </c>
      <c r="AO46" s="74">
        <f t="shared" si="24"/>
        <v>1.935347702623907</v>
      </c>
      <c r="AP46" s="73">
        <f t="shared" si="43"/>
        <v>7.0697468112244907E-2</v>
      </c>
      <c r="AQ46" s="206">
        <f t="shared" si="44"/>
        <v>6.5041670663265314E-2</v>
      </c>
      <c r="AR46" s="206">
        <f t="shared" si="45"/>
        <v>0.88447929873185172</v>
      </c>
      <c r="AS46" s="71">
        <f t="shared" si="46"/>
        <v>0.19999999999999998</v>
      </c>
      <c r="AT46" s="74">
        <f t="shared" si="47"/>
        <v>3.96E-5</v>
      </c>
      <c r="AU46" s="73">
        <f t="shared" si="26"/>
        <v>6.0766301764093962</v>
      </c>
      <c r="AV46" s="71">
        <f t="shared" si="27"/>
        <v>81.900000000000006</v>
      </c>
      <c r="AW46" s="74">
        <f t="shared" si="28"/>
        <v>93.092904144856846</v>
      </c>
    </row>
    <row r="47" spans="17:49" x14ac:dyDescent="0.25">
      <c r="Q47">
        <v>40</v>
      </c>
      <c r="R47" s="73">
        <f t="shared" si="0"/>
        <v>21</v>
      </c>
      <c r="S47" s="71">
        <f t="shared" si="32"/>
        <v>4</v>
      </c>
      <c r="T47" s="71">
        <f t="shared" si="2"/>
        <v>12</v>
      </c>
      <c r="U47" s="74">
        <f t="shared" si="33"/>
        <v>7</v>
      </c>
      <c r="V47" s="73">
        <f>IF(Variable_Management!$B$20=3,2,IF((S47*R47/T47)&lt;((T47*(1-(T47/R47)))/(2*Lm*Fsw)),1,2))</f>
        <v>2</v>
      </c>
      <c r="W47" s="71">
        <f t="shared" si="34"/>
        <v>0.4285714285714286</v>
      </c>
      <c r="X47" s="74">
        <f t="shared" si="35"/>
        <v>0.5714285714285714</v>
      </c>
      <c r="Y47" s="73">
        <f t="shared" si="36"/>
        <v>2.5714285714285716</v>
      </c>
      <c r="Z47" s="71">
        <f t="shared" si="30"/>
        <v>8.2857142857142865</v>
      </c>
      <c r="AA47" s="71">
        <f t="shared" si="31"/>
        <v>7.0392485684313826</v>
      </c>
      <c r="AB47" s="71">
        <v>0</v>
      </c>
      <c r="AC47" s="71">
        <f t="shared" si="37"/>
        <v>6.8380408163265308E-2</v>
      </c>
      <c r="AD47" s="74">
        <f t="shared" si="16"/>
        <v>6.8380408163265308E-2</v>
      </c>
      <c r="AE47" s="73">
        <f t="shared" si="29"/>
        <v>3</v>
      </c>
      <c r="AF47" s="71">
        <f t="shared" si="17"/>
        <v>4.6082699143494779</v>
      </c>
      <c r="AG47" s="71">
        <f t="shared" si="38"/>
        <v>0.18687813411078721</v>
      </c>
      <c r="AH47" s="71">
        <f t="shared" si="39"/>
        <v>2.7469016733375131</v>
      </c>
      <c r="AI47" s="74">
        <f t="shared" si="19"/>
        <v>2.9337798074483001</v>
      </c>
      <c r="AJ47" s="73">
        <f t="shared" si="20"/>
        <v>4</v>
      </c>
      <c r="AK47" s="71">
        <f t="shared" si="40"/>
        <v>5.3211717510962488</v>
      </c>
      <c r="AL47" s="71">
        <f t="shared" si="41"/>
        <v>0.24917084548104954</v>
      </c>
      <c r="AM47" s="71">
        <f t="shared" si="48"/>
        <v>1.4388000000000003</v>
      </c>
      <c r="AN47" s="188">
        <f t="shared" si="42"/>
        <v>0.26514285714285718</v>
      </c>
      <c r="AO47" s="74">
        <f t="shared" si="24"/>
        <v>1.9531137026239069</v>
      </c>
      <c r="AP47" s="73">
        <f t="shared" si="43"/>
        <v>7.4326530612244909E-2</v>
      </c>
      <c r="AQ47" s="206">
        <f t="shared" si="44"/>
        <v>6.8380408163265308E-2</v>
      </c>
      <c r="AR47" s="206">
        <f t="shared" si="45"/>
        <v>0.88447929873185172</v>
      </c>
      <c r="AS47" s="71">
        <f t="shared" si="46"/>
        <v>0.19999999999999998</v>
      </c>
      <c r="AT47" s="74">
        <f t="shared" si="47"/>
        <v>3.96E-5</v>
      </c>
      <c r="AU47" s="73">
        <f t="shared" si="26"/>
        <v>6.1824997557428345</v>
      </c>
      <c r="AV47" s="71">
        <f t="shared" si="27"/>
        <v>84</v>
      </c>
      <c r="AW47" s="74">
        <f t="shared" si="28"/>
        <v>93.144457325436761</v>
      </c>
    </row>
    <row r="48" spans="17:49" x14ac:dyDescent="0.25">
      <c r="Q48">
        <v>41</v>
      </c>
      <c r="R48" s="73">
        <f t="shared" si="0"/>
        <v>21</v>
      </c>
      <c r="S48" s="71">
        <f t="shared" si="32"/>
        <v>4.1000000000000005</v>
      </c>
      <c r="T48" s="71">
        <f t="shared" si="2"/>
        <v>12</v>
      </c>
      <c r="U48" s="74">
        <f t="shared" si="33"/>
        <v>7.1750000000000007</v>
      </c>
      <c r="V48" s="73">
        <f>IF(Variable_Management!$B$20=3,2,IF((S48*R48/T48)&lt;((T48*(1-(T48/R48)))/(2*Lm*Fsw)),1,2))</f>
        <v>2</v>
      </c>
      <c r="W48" s="71">
        <f t="shared" si="34"/>
        <v>0.4285714285714286</v>
      </c>
      <c r="X48" s="74">
        <f t="shared" si="35"/>
        <v>0.5714285714285714</v>
      </c>
      <c r="Y48" s="73">
        <f t="shared" si="36"/>
        <v>2.5714285714285716</v>
      </c>
      <c r="Z48" s="71">
        <f t="shared" si="30"/>
        <v>8.4607142857142872</v>
      </c>
      <c r="AA48" s="71">
        <f t="shared" si="31"/>
        <v>7.213296431463446</v>
      </c>
      <c r="AB48" s="71">
        <v>0</v>
      </c>
      <c r="AC48" s="71">
        <f t="shared" si="37"/>
        <v>7.1803670663265332E-2</v>
      </c>
      <c r="AD48" s="74">
        <f t="shared" si="16"/>
        <v>7.1803670663265332E-2</v>
      </c>
      <c r="AE48" s="73">
        <f t="shared" si="29"/>
        <v>3.0750000000000006</v>
      </c>
      <c r="AF48" s="71">
        <f t="shared" si="17"/>
        <v>4.7222109867622972</v>
      </c>
      <c r="AG48" s="71">
        <f t="shared" si="38"/>
        <v>0.19623363411078723</v>
      </c>
      <c r="AH48" s="71">
        <f t="shared" si="39"/>
        <v>2.8155742151709511</v>
      </c>
      <c r="AI48" s="74">
        <f t="shared" si="19"/>
        <v>3.0118078492817384</v>
      </c>
      <c r="AJ48" s="73">
        <f t="shared" si="20"/>
        <v>4.1000000000000005</v>
      </c>
      <c r="AK48" s="71">
        <f t="shared" si="40"/>
        <v>5.4527395687548417</v>
      </c>
      <c r="AL48" s="71">
        <f t="shared" si="41"/>
        <v>0.26164484548104971</v>
      </c>
      <c r="AM48" s="71">
        <f t="shared" si="48"/>
        <v>1.4388000000000003</v>
      </c>
      <c r="AN48" s="188">
        <f t="shared" si="42"/>
        <v>0.27074285714285717</v>
      </c>
      <c r="AO48" s="74">
        <f t="shared" si="24"/>
        <v>1.9711877026239073</v>
      </c>
      <c r="AP48" s="73">
        <f t="shared" si="43"/>
        <v>7.804746811224493E-2</v>
      </c>
      <c r="AQ48" s="206">
        <f t="shared" si="44"/>
        <v>7.1803670663265332E-2</v>
      </c>
      <c r="AR48" s="206">
        <f t="shared" si="45"/>
        <v>0.88447929873185172</v>
      </c>
      <c r="AS48" s="71">
        <f t="shared" si="46"/>
        <v>0.19999999999999998</v>
      </c>
      <c r="AT48" s="74">
        <f t="shared" si="47"/>
        <v>3.96E-5</v>
      </c>
      <c r="AU48" s="73">
        <f t="shared" si="26"/>
        <v>6.2891692600762736</v>
      </c>
      <c r="AV48" s="71">
        <f t="shared" si="27"/>
        <v>86.100000000000009</v>
      </c>
      <c r="AW48" s="74">
        <f t="shared" si="28"/>
        <v>93.19274184361133</v>
      </c>
    </row>
    <row r="49" spans="17:49" x14ac:dyDescent="0.25">
      <c r="Q49">
        <v>42</v>
      </c>
      <c r="R49" s="73">
        <f t="shared" si="0"/>
        <v>21</v>
      </c>
      <c r="S49" s="71">
        <f t="shared" si="32"/>
        <v>4.2</v>
      </c>
      <c r="T49" s="71">
        <f t="shared" si="2"/>
        <v>12</v>
      </c>
      <c r="U49" s="74">
        <f t="shared" si="33"/>
        <v>7.3500000000000005</v>
      </c>
      <c r="V49" s="73">
        <f>IF(Variable_Management!$B$20=3,2,IF((S49*R49/T49)&lt;((T49*(1-(T49/R49)))/(2*Lm*Fsw)),1,2))</f>
        <v>2</v>
      </c>
      <c r="W49" s="71">
        <f t="shared" si="34"/>
        <v>0.4285714285714286</v>
      </c>
      <c r="X49" s="74">
        <f t="shared" si="35"/>
        <v>0.5714285714285714</v>
      </c>
      <c r="Y49" s="73">
        <f t="shared" si="36"/>
        <v>2.5714285714285716</v>
      </c>
      <c r="Z49" s="71">
        <f t="shared" si="30"/>
        <v>8.6357142857142861</v>
      </c>
      <c r="AA49" s="71">
        <f t="shared" si="31"/>
        <v>7.3873892822947456</v>
      </c>
      <c r="AB49" s="71">
        <v>0</v>
      </c>
      <c r="AC49" s="71">
        <f t="shared" si="37"/>
        <v>7.5311458163265316E-2</v>
      </c>
      <c r="AD49" s="74">
        <f t="shared" si="16"/>
        <v>7.5311458163265316E-2</v>
      </c>
      <c r="AE49" s="73">
        <f t="shared" si="29"/>
        <v>3.1500000000000004</v>
      </c>
      <c r="AF49" s="71">
        <f t="shared" si="17"/>
        <v>4.8361815106030237</v>
      </c>
      <c r="AG49" s="71">
        <f t="shared" si="38"/>
        <v>0.2058201341107872</v>
      </c>
      <c r="AH49" s="71">
        <f t="shared" si="39"/>
        <v>2.884246757004389</v>
      </c>
      <c r="AI49" s="74">
        <f t="shared" si="19"/>
        <v>3.0900668911151761</v>
      </c>
      <c r="AJ49" s="73">
        <f t="shared" si="20"/>
        <v>4.2</v>
      </c>
      <c r="AK49" s="71">
        <f t="shared" si="40"/>
        <v>5.5843413939930926</v>
      </c>
      <c r="AL49" s="71">
        <f t="shared" si="41"/>
        <v>0.27442684548104951</v>
      </c>
      <c r="AM49" s="71">
        <f t="shared" si="48"/>
        <v>1.4388000000000003</v>
      </c>
      <c r="AN49" s="188">
        <f t="shared" si="42"/>
        <v>0.27634285714285717</v>
      </c>
      <c r="AO49" s="74">
        <f t="shared" si="24"/>
        <v>1.989569702623907</v>
      </c>
      <c r="AP49" s="73">
        <f t="shared" si="43"/>
        <v>8.1860280612244915E-2</v>
      </c>
      <c r="AQ49" s="206">
        <f t="shared" si="44"/>
        <v>7.5311458163265316E-2</v>
      </c>
      <c r="AR49" s="206">
        <f t="shared" si="45"/>
        <v>0.88447929873185172</v>
      </c>
      <c r="AS49" s="71">
        <f t="shared" si="46"/>
        <v>0.19999999999999998</v>
      </c>
      <c r="AT49" s="74">
        <f t="shared" si="47"/>
        <v>3.96E-5</v>
      </c>
      <c r="AU49" s="73">
        <f t="shared" si="26"/>
        <v>6.3966386894097109</v>
      </c>
      <c r="AV49" s="71">
        <f t="shared" si="27"/>
        <v>88.2</v>
      </c>
      <c r="AW49" s="74">
        <f t="shared" si="28"/>
        <v>93.237985220160013</v>
      </c>
    </row>
    <row r="50" spans="17:49" x14ac:dyDescent="0.25">
      <c r="Q50">
        <v>43</v>
      </c>
      <c r="R50" s="73">
        <f t="shared" si="0"/>
        <v>21</v>
      </c>
      <c r="S50" s="71">
        <f t="shared" si="32"/>
        <v>4.3</v>
      </c>
      <c r="T50" s="71">
        <f t="shared" si="2"/>
        <v>12</v>
      </c>
      <c r="U50" s="74">
        <f t="shared" si="33"/>
        <v>7.5249999999999995</v>
      </c>
      <c r="V50" s="73">
        <f>IF(Variable_Management!$B$20=3,2,IF((S50*R50/T50)&lt;((T50*(1-(T50/R50)))/(2*Lm*Fsw)),1,2))</f>
        <v>2</v>
      </c>
      <c r="W50" s="71">
        <f t="shared" si="34"/>
        <v>0.4285714285714286</v>
      </c>
      <c r="X50" s="74">
        <f t="shared" si="35"/>
        <v>0.5714285714285714</v>
      </c>
      <c r="Y50" s="73">
        <f t="shared" si="36"/>
        <v>2.5714285714285716</v>
      </c>
      <c r="Z50" s="71">
        <f t="shared" si="30"/>
        <v>8.8107142857142851</v>
      </c>
      <c r="AA50" s="71">
        <f t="shared" si="31"/>
        <v>7.5615240135943003</v>
      </c>
      <c r="AB50" s="71">
        <v>0</v>
      </c>
      <c r="AC50" s="71">
        <f t="shared" si="37"/>
        <v>7.8903770663265288E-2</v>
      </c>
      <c r="AD50" s="74">
        <f t="shared" si="16"/>
        <v>7.8903770663265288E-2</v>
      </c>
      <c r="AE50" s="73">
        <f t="shared" si="29"/>
        <v>3.2250000000000001</v>
      </c>
      <c r="AF50" s="71">
        <f t="shared" si="17"/>
        <v>4.9501794516460249</v>
      </c>
      <c r="AG50" s="71">
        <f t="shared" si="38"/>
        <v>0.21563763411078715</v>
      </c>
      <c r="AH50" s="71">
        <f t="shared" si="39"/>
        <v>2.9529192988378261</v>
      </c>
      <c r="AI50" s="74">
        <f t="shared" si="19"/>
        <v>3.1685569329486132</v>
      </c>
      <c r="AJ50" s="73">
        <f t="shared" si="20"/>
        <v>4.3</v>
      </c>
      <c r="AK50" s="71">
        <f t="shared" si="40"/>
        <v>5.7159748778895727</v>
      </c>
      <c r="AL50" s="71">
        <f t="shared" si="41"/>
        <v>0.2875168454810495</v>
      </c>
      <c r="AM50" s="71">
        <f t="shared" si="48"/>
        <v>1.4388000000000003</v>
      </c>
      <c r="AN50" s="188">
        <f t="shared" si="42"/>
        <v>0.28194285714285711</v>
      </c>
      <c r="AO50" s="74">
        <f t="shared" si="24"/>
        <v>2.0082597026239069</v>
      </c>
      <c r="AP50" s="73">
        <f t="shared" si="43"/>
        <v>8.5764968112244877E-2</v>
      </c>
      <c r="AQ50" s="206">
        <f t="shared" si="44"/>
        <v>7.8903770663265288E-2</v>
      </c>
      <c r="AR50" s="206">
        <f t="shared" si="45"/>
        <v>0.88447929873185172</v>
      </c>
      <c r="AS50" s="71">
        <f t="shared" si="46"/>
        <v>0.19999999999999998</v>
      </c>
      <c r="AT50" s="74">
        <f t="shared" si="47"/>
        <v>3.96E-5</v>
      </c>
      <c r="AU50" s="73">
        <f t="shared" si="26"/>
        <v>6.5049080437431472</v>
      </c>
      <c r="AV50" s="71">
        <f t="shared" si="27"/>
        <v>90.3</v>
      </c>
      <c r="AW50" s="74">
        <f t="shared" si="28"/>
        <v>93.280394377520835</v>
      </c>
    </row>
    <row r="51" spans="17:49" x14ac:dyDescent="0.25">
      <c r="Q51">
        <v>44</v>
      </c>
      <c r="R51" s="73">
        <f t="shared" si="0"/>
        <v>21</v>
      </c>
      <c r="S51" s="71">
        <f t="shared" si="32"/>
        <v>4.4000000000000004</v>
      </c>
      <c r="T51" s="71">
        <f t="shared" si="2"/>
        <v>12</v>
      </c>
      <c r="U51" s="74">
        <f t="shared" si="33"/>
        <v>7.7</v>
      </c>
      <c r="V51" s="73">
        <f>IF(Variable_Management!$B$20=3,2,IF((S51*R51/T51)&lt;((T51*(1-(T51/R51)))/(2*Lm*Fsw)),1,2))</f>
        <v>2</v>
      </c>
      <c r="W51" s="71">
        <f t="shared" si="34"/>
        <v>0.4285714285714286</v>
      </c>
      <c r="X51" s="74">
        <f t="shared" si="35"/>
        <v>0.5714285714285714</v>
      </c>
      <c r="Y51" s="73">
        <f t="shared" si="36"/>
        <v>2.5714285714285716</v>
      </c>
      <c r="Z51" s="71">
        <f t="shared" si="30"/>
        <v>8.9857142857142858</v>
      </c>
      <c r="AA51" s="71">
        <f t="shared" si="31"/>
        <v>7.7356977971068179</v>
      </c>
      <c r="AB51" s="71">
        <v>0</v>
      </c>
      <c r="AC51" s="71">
        <f t="shared" si="37"/>
        <v>8.2580608163265318E-2</v>
      </c>
      <c r="AD51" s="74">
        <f t="shared" si="16"/>
        <v>8.2580608163265318E-2</v>
      </c>
      <c r="AE51" s="73">
        <f t="shared" si="29"/>
        <v>3.3000000000000003</v>
      </c>
      <c r="AF51" s="71">
        <f t="shared" si="17"/>
        <v>5.0642029583635901</v>
      </c>
      <c r="AG51" s="71">
        <f t="shared" si="38"/>
        <v>0.22568613411078714</v>
      </c>
      <c r="AH51" s="71">
        <f t="shared" si="39"/>
        <v>3.021591840671265</v>
      </c>
      <c r="AI51" s="74">
        <f t="shared" si="19"/>
        <v>3.2472779747820519</v>
      </c>
      <c r="AJ51" s="73">
        <f t="shared" si="20"/>
        <v>4.3999999999999995</v>
      </c>
      <c r="AK51" s="71">
        <f t="shared" si="40"/>
        <v>5.8476378824842357</v>
      </c>
      <c r="AL51" s="71">
        <f t="shared" si="41"/>
        <v>0.30091484548104952</v>
      </c>
      <c r="AM51" s="71">
        <f t="shared" si="48"/>
        <v>1.4388000000000003</v>
      </c>
      <c r="AN51" s="188">
        <f t="shared" si="42"/>
        <v>0.28754285714285716</v>
      </c>
      <c r="AO51" s="74">
        <f t="shared" si="24"/>
        <v>2.0272577026239071</v>
      </c>
      <c r="AP51" s="73">
        <f t="shared" si="43"/>
        <v>8.9761530612244914E-2</v>
      </c>
      <c r="AQ51" s="206">
        <f t="shared" si="44"/>
        <v>8.2580608163265318E-2</v>
      </c>
      <c r="AR51" s="206">
        <f t="shared" si="45"/>
        <v>0.88447929873185172</v>
      </c>
      <c r="AS51" s="71">
        <f t="shared" si="46"/>
        <v>0.19999999999999998</v>
      </c>
      <c r="AT51" s="74">
        <f t="shared" si="47"/>
        <v>3.96E-5</v>
      </c>
      <c r="AU51" s="73">
        <f t="shared" si="26"/>
        <v>6.613977323076587</v>
      </c>
      <c r="AV51" s="71">
        <f t="shared" si="27"/>
        <v>92.4</v>
      </c>
      <c r="AW51" s="74">
        <f t="shared" si="28"/>
        <v>93.3201579192243</v>
      </c>
    </row>
    <row r="52" spans="17:49" x14ac:dyDescent="0.25">
      <c r="Q52">
        <v>45</v>
      </c>
      <c r="R52" s="73">
        <f t="shared" si="0"/>
        <v>21</v>
      </c>
      <c r="S52" s="71">
        <f t="shared" si="32"/>
        <v>4.5</v>
      </c>
      <c r="T52" s="71">
        <f t="shared" si="2"/>
        <v>12</v>
      </c>
      <c r="U52" s="74">
        <f t="shared" si="33"/>
        <v>7.875</v>
      </c>
      <c r="V52" s="73">
        <f>IF(Variable_Management!$B$20=3,2,IF((S52*R52/T52)&lt;((T52*(1-(T52/R52)))/(2*Lm*Fsw)),1,2))</f>
        <v>2</v>
      </c>
      <c r="W52" s="71">
        <f t="shared" si="34"/>
        <v>0.4285714285714286</v>
      </c>
      <c r="X52" s="74">
        <f t="shared" si="35"/>
        <v>0.5714285714285714</v>
      </c>
      <c r="Y52" s="73">
        <f t="shared" si="36"/>
        <v>2.5714285714285716</v>
      </c>
      <c r="Z52" s="71">
        <f t="shared" si="30"/>
        <v>9.1607142857142865</v>
      </c>
      <c r="AA52" s="71">
        <f t="shared" si="31"/>
        <v>7.9099080530789525</v>
      </c>
      <c r="AB52" s="71">
        <v>0</v>
      </c>
      <c r="AC52" s="71">
        <f t="shared" si="37"/>
        <v>8.6341970663265308E-2</v>
      </c>
      <c r="AD52" s="74">
        <f t="shared" si="16"/>
        <v>8.6341970663265308E-2</v>
      </c>
      <c r="AE52" s="73">
        <f t="shared" si="29"/>
        <v>3.3750000000000004</v>
      </c>
      <c r="AF52" s="71">
        <f t="shared" si="17"/>
        <v>5.1782503419107258</v>
      </c>
      <c r="AG52" s="71">
        <f t="shared" si="38"/>
        <v>0.23596563411078725</v>
      </c>
      <c r="AH52" s="71">
        <f t="shared" si="39"/>
        <v>3.090264382504702</v>
      </c>
      <c r="AI52" s="74">
        <f t="shared" si="19"/>
        <v>3.3262300166154892</v>
      </c>
      <c r="AJ52" s="73">
        <f t="shared" si="20"/>
        <v>4.5</v>
      </c>
      <c r="AK52" s="71">
        <f t="shared" si="40"/>
        <v>5.9793284576668571</v>
      </c>
      <c r="AL52" s="71">
        <f t="shared" si="41"/>
        <v>0.31462084548104946</v>
      </c>
      <c r="AM52" s="71">
        <f t="shared" si="48"/>
        <v>1.4388000000000003</v>
      </c>
      <c r="AN52" s="188">
        <f t="shared" si="42"/>
        <v>0.29314285714285715</v>
      </c>
      <c r="AO52" s="74">
        <f t="shared" si="24"/>
        <v>2.046563702623907</v>
      </c>
      <c r="AP52" s="73">
        <f t="shared" si="43"/>
        <v>9.38499681122449E-2</v>
      </c>
      <c r="AQ52" s="206">
        <f t="shared" si="44"/>
        <v>8.6341970663265308E-2</v>
      </c>
      <c r="AR52" s="206">
        <f t="shared" si="45"/>
        <v>0.88447929873185172</v>
      </c>
      <c r="AS52" s="71">
        <f t="shared" si="46"/>
        <v>0.19999999999999998</v>
      </c>
      <c r="AT52" s="74">
        <f t="shared" si="47"/>
        <v>3.96E-5</v>
      </c>
      <c r="AU52" s="73">
        <f t="shared" si="26"/>
        <v>6.7238465274100241</v>
      </c>
      <c r="AV52" s="71">
        <f t="shared" si="27"/>
        <v>94.5</v>
      </c>
      <c r="AW52" s="74">
        <f t="shared" si="28"/>
        <v>93.357448113188141</v>
      </c>
    </row>
    <row r="53" spans="17:49" x14ac:dyDescent="0.25">
      <c r="Q53">
        <v>46</v>
      </c>
      <c r="R53" s="73">
        <f t="shared" si="0"/>
        <v>21</v>
      </c>
      <c r="S53" s="71">
        <f t="shared" si="32"/>
        <v>4.6000000000000005</v>
      </c>
      <c r="T53" s="71">
        <f t="shared" si="2"/>
        <v>12</v>
      </c>
      <c r="U53" s="74">
        <f t="shared" si="33"/>
        <v>8.0500000000000007</v>
      </c>
      <c r="V53" s="73">
        <f>IF(Variable_Management!$B$20=3,2,IF((S53*R53/T53)&lt;((T53*(1-(T53/R53)))/(2*Lm*Fsw)),1,2))</f>
        <v>2</v>
      </c>
      <c r="W53" s="71">
        <f t="shared" si="34"/>
        <v>0.4285714285714286</v>
      </c>
      <c r="X53" s="74">
        <f t="shared" si="35"/>
        <v>0.5714285714285714</v>
      </c>
      <c r="Y53" s="73">
        <f t="shared" si="36"/>
        <v>2.5714285714285716</v>
      </c>
      <c r="Z53" s="71">
        <f t="shared" si="30"/>
        <v>9.3357142857142872</v>
      </c>
      <c r="AA53" s="71">
        <f t="shared" si="31"/>
        <v>8.084152423610238</v>
      </c>
      <c r="AB53" s="71">
        <v>0</v>
      </c>
      <c r="AC53" s="71">
        <f t="shared" si="37"/>
        <v>9.0187858163265341E-2</v>
      </c>
      <c r="AD53" s="74">
        <f t="shared" si="16"/>
        <v>9.0187858163265341E-2</v>
      </c>
      <c r="AE53" s="73">
        <f t="shared" si="29"/>
        <v>3.4500000000000006</v>
      </c>
      <c r="AF53" s="71">
        <f t="shared" si="17"/>
        <v>5.2923200586792323</v>
      </c>
      <c r="AG53" s="71">
        <f t="shared" si="38"/>
        <v>0.24647613411078728</v>
      </c>
      <c r="AH53" s="71">
        <f t="shared" si="39"/>
        <v>3.15893692433814</v>
      </c>
      <c r="AI53" s="74">
        <f t="shared" si="19"/>
        <v>3.4054130584489273</v>
      </c>
      <c r="AJ53" s="73">
        <f t="shared" si="20"/>
        <v>4.6000000000000005</v>
      </c>
      <c r="AK53" s="71">
        <f t="shared" si="40"/>
        <v>6.1110448210322215</v>
      </c>
      <c r="AL53" s="71">
        <f t="shared" si="41"/>
        <v>0.32863484548104971</v>
      </c>
      <c r="AM53" s="71">
        <f t="shared" si="48"/>
        <v>1.4388000000000003</v>
      </c>
      <c r="AN53" s="188">
        <f t="shared" si="42"/>
        <v>0.2987428571428572</v>
      </c>
      <c r="AO53" s="74">
        <f t="shared" si="24"/>
        <v>2.0661777026239072</v>
      </c>
      <c r="AP53" s="73">
        <f t="shared" si="43"/>
        <v>9.8030280612244933E-2</v>
      </c>
      <c r="AQ53" s="206">
        <f t="shared" si="44"/>
        <v>9.0187858163265341E-2</v>
      </c>
      <c r="AR53" s="206">
        <f t="shared" si="45"/>
        <v>0.88447929873185172</v>
      </c>
      <c r="AS53" s="71">
        <f t="shared" si="46"/>
        <v>0.19999999999999998</v>
      </c>
      <c r="AT53" s="74">
        <f t="shared" si="47"/>
        <v>3.96E-5</v>
      </c>
      <c r="AU53" s="73">
        <f t="shared" si="26"/>
        <v>6.834515656743462</v>
      </c>
      <c r="AV53" s="71">
        <f t="shared" si="27"/>
        <v>96.600000000000009</v>
      </c>
      <c r="AW53" s="74">
        <f t="shared" si="28"/>
        <v>93.392422622807644</v>
      </c>
    </row>
    <row r="54" spans="17:49" x14ac:dyDescent="0.25">
      <c r="Q54">
        <v>47</v>
      </c>
      <c r="R54" s="73">
        <f t="shared" si="0"/>
        <v>21</v>
      </c>
      <c r="S54" s="71">
        <f t="shared" si="32"/>
        <v>4.7</v>
      </c>
      <c r="T54" s="71">
        <f t="shared" si="2"/>
        <v>12</v>
      </c>
      <c r="U54" s="74">
        <f t="shared" si="33"/>
        <v>8.2249999999999996</v>
      </c>
      <c r="V54" s="73">
        <f>IF(Variable_Management!$B$20=3,2,IF((S54*R54/T54)&lt;((T54*(1-(T54/R54)))/(2*Lm*Fsw)),1,2))</f>
        <v>2</v>
      </c>
      <c r="W54" s="71">
        <f t="shared" si="34"/>
        <v>0.4285714285714286</v>
      </c>
      <c r="X54" s="74">
        <f t="shared" si="35"/>
        <v>0.5714285714285714</v>
      </c>
      <c r="Y54" s="73">
        <f t="shared" si="36"/>
        <v>2.5714285714285716</v>
      </c>
      <c r="Z54" s="71">
        <f t="shared" si="30"/>
        <v>9.5107142857142861</v>
      </c>
      <c r="AA54" s="71">
        <f t="shared" si="31"/>
        <v>8.2584287493543993</v>
      </c>
      <c r="AB54" s="71">
        <v>0</v>
      </c>
      <c r="AC54" s="71">
        <f t="shared" si="37"/>
        <v>9.4118270663265308E-2</v>
      </c>
      <c r="AD54" s="74">
        <f t="shared" si="16"/>
        <v>9.4118270663265308E-2</v>
      </c>
      <c r="AE54" s="73">
        <f t="shared" si="29"/>
        <v>3.5249999999999999</v>
      </c>
      <c r="AF54" s="71">
        <f t="shared" si="17"/>
        <v>5.406410695045146</v>
      </c>
      <c r="AG54" s="71">
        <f t="shared" si="38"/>
        <v>0.25721763411078719</v>
      </c>
      <c r="AH54" s="71">
        <f t="shared" si="39"/>
        <v>3.227609466171578</v>
      </c>
      <c r="AI54" s="74">
        <f t="shared" si="19"/>
        <v>3.4848271002823652</v>
      </c>
      <c r="AJ54" s="73">
        <f t="shared" si="20"/>
        <v>4.6999999999999993</v>
      </c>
      <c r="AK54" s="71">
        <f t="shared" si="40"/>
        <v>6.2427853402679734</v>
      </c>
      <c r="AL54" s="71">
        <f t="shared" si="41"/>
        <v>0.34295684548104954</v>
      </c>
      <c r="AM54" s="71">
        <f t="shared" si="48"/>
        <v>1.4388000000000003</v>
      </c>
      <c r="AN54" s="188">
        <f t="shared" si="42"/>
        <v>0.30434285714285714</v>
      </c>
      <c r="AO54" s="74">
        <f t="shared" si="24"/>
        <v>2.086099702623907</v>
      </c>
      <c r="AP54" s="73">
        <f t="shared" si="43"/>
        <v>0.10230246811224492</v>
      </c>
      <c r="AQ54" s="206">
        <f t="shared" si="44"/>
        <v>9.4118270663265308E-2</v>
      </c>
      <c r="AR54" s="206">
        <f t="shared" si="45"/>
        <v>0.88447929873185172</v>
      </c>
      <c r="AS54" s="71">
        <f t="shared" si="46"/>
        <v>0.19999999999999998</v>
      </c>
      <c r="AT54" s="74">
        <f t="shared" si="47"/>
        <v>3.96E-5</v>
      </c>
      <c r="AU54" s="73">
        <f t="shared" si="26"/>
        <v>6.9459847110768989</v>
      </c>
      <c r="AV54" s="71">
        <f t="shared" si="27"/>
        <v>98.7</v>
      </c>
      <c r="AW54" s="74">
        <f t="shared" si="28"/>
        <v>93.425226022481638</v>
      </c>
    </row>
    <row r="55" spans="17:49" x14ac:dyDescent="0.25">
      <c r="Q55">
        <v>48</v>
      </c>
      <c r="R55" s="73">
        <f t="shared" si="0"/>
        <v>21</v>
      </c>
      <c r="S55" s="71">
        <f t="shared" si="32"/>
        <v>4.8000000000000007</v>
      </c>
      <c r="T55" s="71">
        <f t="shared" si="2"/>
        <v>12</v>
      </c>
      <c r="U55" s="74">
        <f t="shared" si="33"/>
        <v>8.4</v>
      </c>
      <c r="V55" s="73">
        <f>IF(Variable_Management!$B$20=3,2,IF((S55*R55/T55)&lt;((T55*(1-(T55/R55)))/(2*Lm*Fsw)),1,2))</f>
        <v>2</v>
      </c>
      <c r="W55" s="71">
        <f t="shared" si="34"/>
        <v>0.4285714285714286</v>
      </c>
      <c r="X55" s="74">
        <f t="shared" si="35"/>
        <v>0.5714285714285714</v>
      </c>
      <c r="Y55" s="73">
        <f t="shared" si="36"/>
        <v>2.5714285714285716</v>
      </c>
      <c r="Z55" s="71">
        <f t="shared" si="30"/>
        <v>9.6857142857142868</v>
      </c>
      <c r="AA55" s="71">
        <f t="shared" si="31"/>
        <v>8.4327350490907325</v>
      </c>
      <c r="AB55" s="71">
        <v>0</v>
      </c>
      <c r="AC55" s="71">
        <f t="shared" si="37"/>
        <v>9.8133208163265331E-2</v>
      </c>
      <c r="AD55" s="74">
        <f t="shared" si="16"/>
        <v>9.8133208163265331E-2</v>
      </c>
      <c r="AE55" s="73">
        <f t="shared" si="29"/>
        <v>3.6000000000000005</v>
      </c>
      <c r="AF55" s="71">
        <f t="shared" si="17"/>
        <v>5.5205209539950619</v>
      </c>
      <c r="AG55" s="71">
        <f t="shared" si="38"/>
        <v>0.26819013411078724</v>
      </c>
      <c r="AH55" s="71">
        <f t="shared" si="39"/>
        <v>3.2962820080050155</v>
      </c>
      <c r="AI55" s="74">
        <f t="shared" si="19"/>
        <v>3.5644721421158025</v>
      </c>
      <c r="AJ55" s="73">
        <f t="shared" si="20"/>
        <v>4.8</v>
      </c>
      <c r="AK55" s="71">
        <f t="shared" si="40"/>
        <v>6.3745485177120367</v>
      </c>
      <c r="AL55" s="71">
        <f t="shared" si="41"/>
        <v>0.35758684548104963</v>
      </c>
      <c r="AM55" s="71">
        <f t="shared" si="48"/>
        <v>1.4388000000000003</v>
      </c>
      <c r="AN55" s="188">
        <f t="shared" si="42"/>
        <v>0.30994285714285719</v>
      </c>
      <c r="AO55" s="74">
        <f t="shared" si="24"/>
        <v>2.1063297026239072</v>
      </c>
      <c r="AP55" s="73">
        <f t="shared" si="43"/>
        <v>0.10666653061224493</v>
      </c>
      <c r="AQ55" s="206">
        <f t="shared" si="44"/>
        <v>9.8133208163265331E-2</v>
      </c>
      <c r="AR55" s="206">
        <f t="shared" si="45"/>
        <v>0.88447929873185172</v>
      </c>
      <c r="AS55" s="71">
        <f t="shared" si="46"/>
        <v>0.19999999999999998</v>
      </c>
      <c r="AT55" s="74">
        <f t="shared" si="47"/>
        <v>3.96E-5</v>
      </c>
      <c r="AU55" s="73">
        <f t="shared" si="26"/>
        <v>7.0582536904103366</v>
      </c>
      <c r="AV55" s="71">
        <f t="shared" si="27"/>
        <v>100.80000000000001</v>
      </c>
      <c r="AW55" s="74">
        <f t="shared" si="28"/>
        <v>93.455991128254396</v>
      </c>
    </row>
    <row r="56" spans="17:49" x14ac:dyDescent="0.25">
      <c r="Q56">
        <v>49</v>
      </c>
      <c r="R56" s="73">
        <f t="shared" si="0"/>
        <v>21</v>
      </c>
      <c r="S56" s="71">
        <f t="shared" si="32"/>
        <v>4.9000000000000004</v>
      </c>
      <c r="T56" s="71">
        <f t="shared" si="2"/>
        <v>12</v>
      </c>
      <c r="U56" s="74">
        <f t="shared" si="33"/>
        <v>8.5750000000000011</v>
      </c>
      <c r="V56" s="73">
        <f>IF(Variable_Management!$B$20=3,2,IF((S56*R56/T56)&lt;((T56*(1-(T56/R56)))/(2*Lm*Fsw)),1,2))</f>
        <v>2</v>
      </c>
      <c r="W56" s="71">
        <f t="shared" si="34"/>
        <v>0.4285714285714286</v>
      </c>
      <c r="X56" s="74">
        <f t="shared" si="35"/>
        <v>0.5714285714285714</v>
      </c>
      <c r="Y56" s="73">
        <f t="shared" si="36"/>
        <v>2.5714285714285716</v>
      </c>
      <c r="Z56" s="71">
        <f t="shared" si="30"/>
        <v>9.8607142857142875</v>
      </c>
      <c r="AA56" s="71">
        <f t="shared" si="31"/>
        <v>8.6070695017620995</v>
      </c>
      <c r="AB56" s="71">
        <v>0</v>
      </c>
      <c r="AC56" s="71">
        <f t="shared" si="37"/>
        <v>0.10223267066326533</v>
      </c>
      <c r="AD56" s="74">
        <f t="shared" si="16"/>
        <v>0.10223267066326533</v>
      </c>
      <c r="AE56" s="73">
        <f t="shared" si="29"/>
        <v>3.6750000000000007</v>
      </c>
      <c r="AF56" s="71">
        <f t="shared" si="17"/>
        <v>5.6346496433672391</v>
      </c>
      <c r="AG56" s="71">
        <f t="shared" si="38"/>
        <v>0.27939363411078727</v>
      </c>
      <c r="AH56" s="71">
        <f t="shared" si="39"/>
        <v>3.3649545498384539</v>
      </c>
      <c r="AI56" s="74">
        <f t="shared" si="19"/>
        <v>3.6443481839492411</v>
      </c>
      <c r="AJ56" s="73">
        <f t="shared" si="20"/>
        <v>4.9000000000000004</v>
      </c>
      <c r="AK56" s="71">
        <f t="shared" si="40"/>
        <v>6.5063329767746083</v>
      </c>
      <c r="AL56" s="71">
        <f t="shared" si="41"/>
        <v>0.37252484548104975</v>
      </c>
      <c r="AM56" s="71">
        <f t="shared" si="48"/>
        <v>1.4388000000000003</v>
      </c>
      <c r="AN56" s="188">
        <f t="shared" si="42"/>
        <v>0.31554285714285718</v>
      </c>
      <c r="AO56" s="74">
        <f t="shared" si="24"/>
        <v>2.1268677026239073</v>
      </c>
      <c r="AP56" s="73">
        <f t="shared" si="43"/>
        <v>0.11112246811224492</v>
      </c>
      <c r="AQ56" s="206">
        <f t="shared" si="44"/>
        <v>0.10223267066326533</v>
      </c>
      <c r="AR56" s="206">
        <f t="shared" si="45"/>
        <v>0.88447929873185172</v>
      </c>
      <c r="AS56" s="71">
        <f t="shared" si="46"/>
        <v>0.19999999999999998</v>
      </c>
      <c r="AT56" s="74">
        <f t="shared" si="47"/>
        <v>3.96E-5</v>
      </c>
      <c r="AU56" s="73">
        <f t="shared" si="26"/>
        <v>7.1713225947437751</v>
      </c>
      <c r="AV56" s="71">
        <f t="shared" si="27"/>
        <v>102.9</v>
      </c>
      <c r="AW56" s="74">
        <f t="shared" si="28"/>
        <v>93.484840169362855</v>
      </c>
    </row>
    <row r="57" spans="17:49" x14ac:dyDescent="0.25">
      <c r="Q57">
        <v>50</v>
      </c>
      <c r="R57" s="73">
        <f t="shared" si="0"/>
        <v>21</v>
      </c>
      <c r="S57" s="71">
        <f t="shared" si="32"/>
        <v>5</v>
      </c>
      <c r="T57" s="71">
        <f t="shared" si="2"/>
        <v>12</v>
      </c>
      <c r="U57" s="74">
        <f t="shared" si="33"/>
        <v>8.75</v>
      </c>
      <c r="V57" s="73">
        <f>IF(Variable_Management!$B$20=3,2,IF((S57*R57/T57)&lt;((T57*(1-(T57/R57)))/(2*Lm*Fsw)),1,2))</f>
        <v>2</v>
      </c>
      <c r="W57" s="71">
        <f t="shared" si="34"/>
        <v>0.4285714285714286</v>
      </c>
      <c r="X57" s="74">
        <f t="shared" si="35"/>
        <v>0.5714285714285714</v>
      </c>
      <c r="Y57" s="73">
        <f t="shared" si="36"/>
        <v>2.5714285714285716</v>
      </c>
      <c r="Z57" s="71">
        <f t="shared" si="30"/>
        <v>10.035714285714286</v>
      </c>
      <c r="AA57" s="71">
        <f t="shared" si="31"/>
        <v>8.7814304306396043</v>
      </c>
      <c r="AB57" s="71">
        <v>0</v>
      </c>
      <c r="AC57" s="71">
        <f t="shared" si="37"/>
        <v>0.1064166581632653</v>
      </c>
      <c r="AD57" s="74">
        <f t="shared" si="16"/>
        <v>0.1064166581632653</v>
      </c>
      <c r="AE57" s="73">
        <f t="shared" si="29"/>
        <v>3.7500000000000004</v>
      </c>
      <c r="AF57" s="71">
        <f t="shared" si="17"/>
        <v>5.7487956654849501</v>
      </c>
      <c r="AG57" s="71">
        <f t="shared" si="38"/>
        <v>0.29082813411078723</v>
      </c>
      <c r="AH57" s="71">
        <f t="shared" si="39"/>
        <v>3.4336270916718914</v>
      </c>
      <c r="AI57" s="74">
        <f t="shared" si="19"/>
        <v>3.7244552257826786</v>
      </c>
      <c r="AJ57" s="73">
        <f t="shared" si="20"/>
        <v>5</v>
      </c>
      <c r="AK57" s="71">
        <f t="shared" si="40"/>
        <v>6.6381374499677799</v>
      </c>
      <c r="AL57" s="71">
        <f t="shared" si="41"/>
        <v>0.38777084548104973</v>
      </c>
      <c r="AM57" s="71">
        <f t="shared" si="48"/>
        <v>1.4388000000000003</v>
      </c>
      <c r="AN57" s="188">
        <f t="shared" si="42"/>
        <v>0.32114285714285717</v>
      </c>
      <c r="AO57" s="74">
        <f t="shared" si="24"/>
        <v>2.147713702623907</v>
      </c>
      <c r="AP57" s="73">
        <f t="shared" si="43"/>
        <v>0.11567028061224491</v>
      </c>
      <c r="AQ57" s="206">
        <f t="shared" si="44"/>
        <v>0.1064166581632653</v>
      </c>
      <c r="AR57" s="206">
        <f t="shared" si="45"/>
        <v>0.88447929873185172</v>
      </c>
      <c r="AS57" s="71">
        <f t="shared" si="46"/>
        <v>0.19999999999999998</v>
      </c>
      <c r="AT57" s="74">
        <f t="shared" si="47"/>
        <v>3.96E-5</v>
      </c>
      <c r="AU57" s="73">
        <f t="shared" si="26"/>
        <v>7.2851914240772127</v>
      </c>
      <c r="AV57" s="71">
        <f t="shared" si="27"/>
        <v>105</v>
      </c>
      <c r="AW57" s="74">
        <f t="shared" si="28"/>
        <v>93.511885822447766</v>
      </c>
    </row>
    <row r="58" spans="17:49" x14ac:dyDescent="0.25">
      <c r="Q58">
        <v>51</v>
      </c>
      <c r="R58" s="73">
        <f t="shared" si="0"/>
        <v>21</v>
      </c>
      <c r="S58" s="71">
        <f t="shared" si="32"/>
        <v>5.1000000000000005</v>
      </c>
      <c r="T58" s="71">
        <f t="shared" si="2"/>
        <v>12</v>
      </c>
      <c r="U58" s="74">
        <f t="shared" si="33"/>
        <v>8.9250000000000007</v>
      </c>
      <c r="V58" s="73">
        <f>IF(Variable_Management!$B$20=3,2,IF((S58*R58/T58)&lt;((T58*(1-(T58/R58)))/(2*Lm*Fsw)),1,2))</f>
        <v>2</v>
      </c>
      <c r="W58" s="71">
        <f t="shared" si="34"/>
        <v>0.4285714285714286</v>
      </c>
      <c r="X58" s="74">
        <f t="shared" si="35"/>
        <v>0.5714285714285714</v>
      </c>
      <c r="Y58" s="73">
        <f t="shared" si="36"/>
        <v>2.5714285714285716</v>
      </c>
      <c r="Z58" s="71">
        <f t="shared" si="30"/>
        <v>10.210714285714287</v>
      </c>
      <c r="AA58" s="71">
        <f t="shared" si="31"/>
        <v>8.9558162893263553</v>
      </c>
      <c r="AB58" s="71">
        <v>0</v>
      </c>
      <c r="AC58" s="71">
        <f t="shared" si="37"/>
        <v>0.11068517066326533</v>
      </c>
      <c r="AD58" s="74">
        <f t="shared" si="16"/>
        <v>0.11068517066326533</v>
      </c>
      <c r="AE58" s="73">
        <f t="shared" si="29"/>
        <v>3.8250000000000006</v>
      </c>
      <c r="AF58" s="71">
        <f t="shared" si="17"/>
        <v>5.8629580079937931</v>
      </c>
      <c r="AG58" s="71">
        <f t="shared" si="38"/>
        <v>0.30249363411078722</v>
      </c>
      <c r="AH58" s="71">
        <f t="shared" si="39"/>
        <v>3.5022996335053289</v>
      </c>
      <c r="AI58" s="74">
        <f t="shared" si="19"/>
        <v>3.804793267616116</v>
      </c>
      <c r="AJ58" s="73">
        <f t="shared" si="20"/>
        <v>5.1000000000000005</v>
      </c>
      <c r="AK58" s="71">
        <f t="shared" si="40"/>
        <v>6.7699607683253769</v>
      </c>
      <c r="AL58" s="71">
        <f t="shared" si="41"/>
        <v>0.40332484548104958</v>
      </c>
      <c r="AM58" s="71">
        <f t="shared" si="48"/>
        <v>1.4388000000000003</v>
      </c>
      <c r="AN58" s="188">
        <f t="shared" si="42"/>
        <v>0.32674285714285722</v>
      </c>
      <c r="AO58" s="74">
        <f t="shared" si="24"/>
        <v>2.1688677026239072</v>
      </c>
      <c r="AP58" s="73">
        <f t="shared" si="43"/>
        <v>0.12030996811224492</v>
      </c>
      <c r="AQ58" s="206">
        <f t="shared" si="44"/>
        <v>0.11068517066326533</v>
      </c>
      <c r="AR58" s="206">
        <f t="shared" si="45"/>
        <v>0.88447929873185172</v>
      </c>
      <c r="AS58" s="71">
        <f t="shared" si="46"/>
        <v>0.19999999999999998</v>
      </c>
      <c r="AT58" s="74">
        <f t="shared" si="47"/>
        <v>3.96E-5</v>
      </c>
      <c r="AU58" s="73">
        <f t="shared" si="26"/>
        <v>7.3998601784106492</v>
      </c>
      <c r="AV58" s="71">
        <f t="shared" si="27"/>
        <v>107.10000000000001</v>
      </c>
      <c r="AW58" s="74">
        <f t="shared" si="28"/>
        <v>93.53723212685118</v>
      </c>
    </row>
    <row r="59" spans="17:49" x14ac:dyDescent="0.25">
      <c r="Q59">
        <v>52</v>
      </c>
      <c r="R59" s="73">
        <f t="shared" si="0"/>
        <v>21</v>
      </c>
      <c r="S59" s="71">
        <f t="shared" si="32"/>
        <v>5.2</v>
      </c>
      <c r="T59" s="71">
        <f t="shared" si="2"/>
        <v>12</v>
      </c>
      <c r="U59" s="74">
        <f t="shared" si="33"/>
        <v>9.1</v>
      </c>
      <c r="V59" s="73">
        <f>IF(Variable_Management!$B$20=3,2,IF((S59*R59/T59)&lt;((T59*(1-(T59/R59)))/(2*Lm*Fsw)),1,2))</f>
        <v>2</v>
      </c>
      <c r="W59" s="71">
        <f t="shared" si="34"/>
        <v>0.4285714285714286</v>
      </c>
      <c r="X59" s="74">
        <f t="shared" si="35"/>
        <v>0.5714285714285714</v>
      </c>
      <c r="Y59" s="73">
        <f t="shared" si="36"/>
        <v>2.5714285714285716</v>
      </c>
      <c r="Z59" s="71">
        <f t="shared" si="30"/>
        <v>10.385714285714286</v>
      </c>
      <c r="AA59" s="71">
        <f t="shared" si="31"/>
        <v>9.1302256493562766</v>
      </c>
      <c r="AB59" s="71">
        <v>0</v>
      </c>
      <c r="AC59" s="71">
        <f t="shared" si="37"/>
        <v>0.11503820816326527</v>
      </c>
      <c r="AD59" s="74">
        <f t="shared" si="16"/>
        <v>0.11503820816326527</v>
      </c>
      <c r="AE59" s="73">
        <f t="shared" si="29"/>
        <v>3.9000000000000004</v>
      </c>
      <c r="AF59" s="71">
        <f t="shared" si="17"/>
        <v>5.9771357357432118</v>
      </c>
      <c r="AG59" s="71">
        <f t="shared" si="38"/>
        <v>0.3143901341107872</v>
      </c>
      <c r="AH59" s="71">
        <f t="shared" si="39"/>
        <v>3.5709721753387669</v>
      </c>
      <c r="AI59" s="74">
        <f t="shared" si="19"/>
        <v>3.8853623094495542</v>
      </c>
      <c r="AJ59" s="73">
        <f t="shared" si="20"/>
        <v>5.1999999999999993</v>
      </c>
      <c r="AK59" s="71">
        <f t="shared" si="40"/>
        <v>6.9018018520285489</v>
      </c>
      <c r="AL59" s="71">
        <f t="shared" si="41"/>
        <v>0.41918684548104945</v>
      </c>
      <c r="AM59" s="71">
        <f t="shared" si="48"/>
        <v>1.4388000000000003</v>
      </c>
      <c r="AN59" s="188">
        <f t="shared" si="42"/>
        <v>0.33234285714285716</v>
      </c>
      <c r="AO59" s="74">
        <f t="shared" si="24"/>
        <v>2.1903297026239068</v>
      </c>
      <c r="AP59" s="73">
        <f t="shared" si="43"/>
        <v>0.12504153061224488</v>
      </c>
      <c r="AQ59" s="206">
        <f t="shared" si="44"/>
        <v>0.11503820816326527</v>
      </c>
      <c r="AR59" s="206">
        <f t="shared" si="45"/>
        <v>0.88447929873185172</v>
      </c>
      <c r="AS59" s="71">
        <f t="shared" si="46"/>
        <v>0.19999999999999998</v>
      </c>
      <c r="AT59" s="74">
        <f t="shared" si="47"/>
        <v>3.96E-5</v>
      </c>
      <c r="AU59" s="73">
        <f t="shared" si="26"/>
        <v>7.5153288577440884</v>
      </c>
      <c r="AV59" s="71">
        <f t="shared" si="27"/>
        <v>109.2</v>
      </c>
      <c r="AW59" s="74">
        <f t="shared" si="28"/>
        <v>93.560975296651918</v>
      </c>
    </row>
    <row r="60" spans="17:49" x14ac:dyDescent="0.25">
      <c r="Q60">
        <v>53</v>
      </c>
      <c r="R60" s="73">
        <f t="shared" si="0"/>
        <v>21</v>
      </c>
      <c r="S60" s="71">
        <f t="shared" si="32"/>
        <v>5.3000000000000007</v>
      </c>
      <c r="T60" s="71">
        <f t="shared" si="2"/>
        <v>12</v>
      </c>
      <c r="U60" s="74">
        <f t="shared" si="33"/>
        <v>9.2750000000000004</v>
      </c>
      <c r="V60" s="73">
        <f>IF(Variable_Management!$B$20=3,2,IF((S60*R60/T60)&lt;((T60*(1-(T60/R60)))/(2*Lm*Fsw)),1,2))</f>
        <v>2</v>
      </c>
      <c r="W60" s="71">
        <f t="shared" si="34"/>
        <v>0.4285714285714286</v>
      </c>
      <c r="X60" s="74">
        <f t="shared" si="35"/>
        <v>0.5714285714285714</v>
      </c>
      <c r="Y60" s="73">
        <f t="shared" si="36"/>
        <v>2.5714285714285716</v>
      </c>
      <c r="Z60" s="71">
        <f t="shared" si="30"/>
        <v>10.560714285714287</v>
      </c>
      <c r="AA60" s="71">
        <f t="shared" si="31"/>
        <v>9.3046571891802259</v>
      </c>
      <c r="AB60" s="71">
        <v>0</v>
      </c>
      <c r="AC60" s="71">
        <f t="shared" si="37"/>
        <v>0.11947577066326528</v>
      </c>
      <c r="AD60" s="74">
        <f t="shared" si="16"/>
        <v>0.11947577066326528</v>
      </c>
      <c r="AE60" s="73">
        <f t="shared" si="29"/>
        <v>3.9750000000000005</v>
      </c>
      <c r="AF60" s="71">
        <f t="shared" si="17"/>
        <v>6.0913279835762042</v>
      </c>
      <c r="AG60" s="71">
        <f t="shared" si="38"/>
        <v>0.32651763411078721</v>
      </c>
      <c r="AH60" s="71">
        <f t="shared" si="39"/>
        <v>3.6396447171722048</v>
      </c>
      <c r="AI60" s="74">
        <f t="shared" si="19"/>
        <v>3.9661623512829922</v>
      </c>
      <c r="AJ60" s="73">
        <f t="shared" si="20"/>
        <v>5.3</v>
      </c>
      <c r="AK60" s="71">
        <f t="shared" si="40"/>
        <v>7.0336597020800431</v>
      </c>
      <c r="AL60" s="71">
        <f t="shared" si="41"/>
        <v>0.43535684548104953</v>
      </c>
      <c r="AM60" s="71">
        <f t="shared" si="48"/>
        <v>1.4388000000000003</v>
      </c>
      <c r="AN60" s="188">
        <f t="shared" si="42"/>
        <v>0.33794285714285721</v>
      </c>
      <c r="AO60" s="74">
        <f t="shared" si="24"/>
        <v>2.2120997026239069</v>
      </c>
      <c r="AP60" s="73">
        <f t="shared" si="43"/>
        <v>0.12986496811224488</v>
      </c>
      <c r="AQ60" s="206">
        <f t="shared" si="44"/>
        <v>0.11947577066326528</v>
      </c>
      <c r="AR60" s="206">
        <f t="shared" si="45"/>
        <v>0.88447929873185172</v>
      </c>
      <c r="AS60" s="71">
        <f t="shared" si="46"/>
        <v>0.19999999999999998</v>
      </c>
      <c r="AT60" s="74">
        <f t="shared" si="47"/>
        <v>3.96E-5</v>
      </c>
      <c r="AU60" s="73">
        <f t="shared" si="26"/>
        <v>7.6315974620775267</v>
      </c>
      <c r="AV60" s="71">
        <f t="shared" si="27"/>
        <v>111.30000000000001</v>
      </c>
      <c r="AW60" s="74">
        <f t="shared" si="28"/>
        <v>93.583204442779859</v>
      </c>
    </row>
    <row r="61" spans="17:49" x14ac:dyDescent="0.25">
      <c r="Q61">
        <v>54</v>
      </c>
      <c r="R61" s="73">
        <f t="shared" si="0"/>
        <v>21</v>
      </c>
      <c r="S61" s="71">
        <f t="shared" si="32"/>
        <v>5.4</v>
      </c>
      <c r="T61" s="71">
        <f t="shared" si="2"/>
        <v>12</v>
      </c>
      <c r="U61" s="74">
        <f t="shared" si="33"/>
        <v>9.4500000000000011</v>
      </c>
      <c r="V61" s="73">
        <f>IF(Variable_Management!$B$20=3,2,IF((S61*R61/T61)&lt;((T61*(1-(T61/R61)))/(2*Lm*Fsw)),1,2))</f>
        <v>2</v>
      </c>
      <c r="W61" s="71">
        <f t="shared" si="34"/>
        <v>0.4285714285714286</v>
      </c>
      <c r="X61" s="74">
        <f t="shared" si="35"/>
        <v>0.5714285714285714</v>
      </c>
      <c r="Y61" s="73">
        <f t="shared" si="36"/>
        <v>2.5714285714285716</v>
      </c>
      <c r="Z61" s="71">
        <f t="shared" si="30"/>
        <v>10.735714285714288</v>
      </c>
      <c r="AA61" s="71">
        <f t="shared" si="31"/>
        <v>9.4791096843618856</v>
      </c>
      <c r="AB61" s="71">
        <v>0</v>
      </c>
      <c r="AC61" s="71">
        <f t="shared" si="37"/>
        <v>0.12399785816326533</v>
      </c>
      <c r="AD61" s="74">
        <f t="shared" si="16"/>
        <v>0.12399785816326533</v>
      </c>
      <c r="AE61" s="73">
        <f t="shared" si="29"/>
        <v>4.0500000000000007</v>
      </c>
      <c r="AF61" s="71">
        <f t="shared" si="17"/>
        <v>6.2055339499110431</v>
      </c>
      <c r="AG61" s="71">
        <f t="shared" si="38"/>
        <v>0.33887613411078726</v>
      </c>
      <c r="AH61" s="71">
        <f t="shared" si="39"/>
        <v>3.7083172590056432</v>
      </c>
      <c r="AI61" s="74">
        <f t="shared" si="19"/>
        <v>4.0471933931164301</v>
      </c>
      <c r="AJ61" s="73">
        <f t="shared" si="20"/>
        <v>5.4</v>
      </c>
      <c r="AK61" s="71">
        <f t="shared" si="40"/>
        <v>7.1655333928930043</v>
      </c>
      <c r="AL61" s="71">
        <f t="shared" si="41"/>
        <v>0.45183484548104963</v>
      </c>
      <c r="AM61" s="71">
        <f t="shared" si="48"/>
        <v>1.4388000000000003</v>
      </c>
      <c r="AN61" s="188">
        <f t="shared" si="42"/>
        <v>0.34354285714285721</v>
      </c>
      <c r="AO61" s="74">
        <f t="shared" si="24"/>
        <v>2.2341777026239074</v>
      </c>
      <c r="AP61" s="73">
        <f t="shared" si="43"/>
        <v>0.13478028061224495</v>
      </c>
      <c r="AQ61" s="206">
        <f t="shared" si="44"/>
        <v>0.12399785816326533</v>
      </c>
      <c r="AR61" s="206">
        <f t="shared" si="45"/>
        <v>0.88447929873185172</v>
      </c>
      <c r="AS61" s="71">
        <f t="shared" si="46"/>
        <v>0.19999999999999998</v>
      </c>
      <c r="AT61" s="74">
        <f t="shared" si="47"/>
        <v>3.96E-5</v>
      </c>
      <c r="AU61" s="73">
        <f t="shared" si="26"/>
        <v>7.7486659914109639</v>
      </c>
      <c r="AV61" s="71">
        <f t="shared" si="27"/>
        <v>113.4</v>
      </c>
      <c r="AW61" s="74">
        <f t="shared" si="28"/>
        <v>93.604002216615157</v>
      </c>
    </row>
    <row r="62" spans="17:49" x14ac:dyDescent="0.25">
      <c r="Q62">
        <v>55</v>
      </c>
      <c r="R62" s="73">
        <f t="shared" si="0"/>
        <v>21</v>
      </c>
      <c r="S62" s="71">
        <f t="shared" si="32"/>
        <v>5.5</v>
      </c>
      <c r="T62" s="71">
        <f t="shared" si="2"/>
        <v>12</v>
      </c>
      <c r="U62" s="74">
        <f t="shared" si="33"/>
        <v>9.625</v>
      </c>
      <c r="V62" s="73">
        <f>IF(Variable_Management!$B$20=3,2,IF((S62*R62/T62)&lt;((T62*(1-(T62/R62)))/(2*Lm*Fsw)),1,2))</f>
        <v>2</v>
      </c>
      <c r="W62" s="71">
        <f t="shared" si="34"/>
        <v>0.4285714285714286</v>
      </c>
      <c r="X62" s="74">
        <f t="shared" si="35"/>
        <v>0.5714285714285714</v>
      </c>
      <c r="Y62" s="73">
        <f t="shared" si="36"/>
        <v>2.5714285714285716</v>
      </c>
      <c r="Z62" s="71">
        <f t="shared" si="30"/>
        <v>10.910714285714286</v>
      </c>
      <c r="AA62" s="71">
        <f t="shared" si="31"/>
        <v>9.6535819988314842</v>
      </c>
      <c r="AB62" s="71">
        <v>0</v>
      </c>
      <c r="AC62" s="71">
        <f t="shared" si="37"/>
        <v>0.1286044706632653</v>
      </c>
      <c r="AD62" s="74">
        <f t="shared" si="16"/>
        <v>0.1286044706632653</v>
      </c>
      <c r="AE62" s="73">
        <f t="shared" si="29"/>
        <v>4.125</v>
      </c>
      <c r="AF62" s="71">
        <f t="shared" si="17"/>
        <v>6.319752891015483</v>
      </c>
      <c r="AG62" s="71">
        <f t="shared" si="38"/>
        <v>0.35146563411078729</v>
      </c>
      <c r="AH62" s="71">
        <f t="shared" si="39"/>
        <v>3.7769898008390803</v>
      </c>
      <c r="AI62" s="74">
        <f t="shared" si="19"/>
        <v>4.1284554349498679</v>
      </c>
      <c r="AJ62" s="73">
        <f t="shared" si="20"/>
        <v>5.5</v>
      </c>
      <c r="AK62" s="71">
        <f t="shared" si="40"/>
        <v>7.2974220656794087</v>
      </c>
      <c r="AL62" s="71">
        <f t="shared" si="41"/>
        <v>0.4686208454810496</v>
      </c>
      <c r="AM62" s="71">
        <f t="shared" si="48"/>
        <v>1.4388000000000003</v>
      </c>
      <c r="AN62" s="188">
        <f t="shared" si="42"/>
        <v>0.3491428571428572</v>
      </c>
      <c r="AO62" s="74">
        <f t="shared" si="24"/>
        <v>2.2565637026239074</v>
      </c>
      <c r="AP62" s="73">
        <f t="shared" si="43"/>
        <v>0.13978746811224491</v>
      </c>
      <c r="AQ62" s="206">
        <f t="shared" si="44"/>
        <v>0.1286044706632653</v>
      </c>
      <c r="AR62" s="206">
        <f t="shared" si="45"/>
        <v>0.88447929873185172</v>
      </c>
      <c r="AS62" s="71">
        <f t="shared" si="46"/>
        <v>0.19999999999999998</v>
      </c>
      <c r="AT62" s="74">
        <f t="shared" si="47"/>
        <v>3.96E-5</v>
      </c>
      <c r="AU62" s="73">
        <f t="shared" si="26"/>
        <v>7.866534445744402</v>
      </c>
      <c r="AV62" s="71">
        <f t="shared" si="27"/>
        <v>115.5</v>
      </c>
      <c r="AW62" s="74">
        <f t="shared" si="28"/>
        <v>93.623445384855131</v>
      </c>
    </row>
    <row r="63" spans="17:49" x14ac:dyDescent="0.25">
      <c r="Q63">
        <v>56</v>
      </c>
      <c r="R63" s="73">
        <f t="shared" si="0"/>
        <v>21</v>
      </c>
      <c r="S63" s="71">
        <f t="shared" si="32"/>
        <v>5.6000000000000005</v>
      </c>
      <c r="T63" s="71">
        <f t="shared" si="2"/>
        <v>12</v>
      </c>
      <c r="U63" s="74">
        <f t="shared" si="33"/>
        <v>9.8000000000000007</v>
      </c>
      <c r="V63" s="73">
        <f>IF(Variable_Management!$B$20=3,2,IF((S63*R63/T63)&lt;((T63*(1-(T63/R63)))/(2*Lm*Fsw)),1,2))</f>
        <v>2</v>
      </c>
      <c r="W63" s="71">
        <f t="shared" si="34"/>
        <v>0.4285714285714286</v>
      </c>
      <c r="X63" s="74">
        <f t="shared" si="35"/>
        <v>0.5714285714285714</v>
      </c>
      <c r="Y63" s="73">
        <f t="shared" si="36"/>
        <v>2.5714285714285716</v>
      </c>
      <c r="Z63" s="71">
        <f t="shared" si="30"/>
        <v>11.085714285714287</v>
      </c>
      <c r="AA63" s="71">
        <f t="shared" si="31"/>
        <v>9.8280730770666995</v>
      </c>
      <c r="AB63" s="71">
        <v>0</v>
      </c>
      <c r="AC63" s="71">
        <f t="shared" si="37"/>
        <v>0.13329560816326536</v>
      </c>
      <c r="AD63" s="74">
        <f t="shared" si="16"/>
        <v>0.13329560816326536</v>
      </c>
      <c r="AE63" s="73">
        <f t="shared" si="29"/>
        <v>4.2</v>
      </c>
      <c r="AF63" s="71">
        <f t="shared" si="17"/>
        <v>6.4339841158879585</v>
      </c>
      <c r="AG63" s="71">
        <f t="shared" si="38"/>
        <v>0.36428613411078731</v>
      </c>
      <c r="AH63" s="71">
        <f t="shared" si="39"/>
        <v>3.8456623426725183</v>
      </c>
      <c r="AI63" s="74">
        <f t="shared" si="19"/>
        <v>4.209948476783306</v>
      </c>
      <c r="AJ63" s="73">
        <f t="shared" si="20"/>
        <v>5.6000000000000005</v>
      </c>
      <c r="AK63" s="71">
        <f t="shared" si="40"/>
        <v>7.4293249225393785</v>
      </c>
      <c r="AL63" s="71">
        <f t="shared" si="41"/>
        <v>0.48571484548104976</v>
      </c>
      <c r="AM63" s="71">
        <f t="shared" si="48"/>
        <v>1.4388000000000003</v>
      </c>
      <c r="AN63" s="188">
        <f t="shared" si="42"/>
        <v>0.35474285714285719</v>
      </c>
      <c r="AO63" s="74">
        <f t="shared" si="24"/>
        <v>2.2792577026239074</v>
      </c>
      <c r="AP63" s="73">
        <f t="shared" si="43"/>
        <v>0.14488653061224496</v>
      </c>
      <c r="AQ63" s="206">
        <f t="shared" si="44"/>
        <v>0.13329560816326536</v>
      </c>
      <c r="AR63" s="206">
        <f t="shared" si="45"/>
        <v>0.88447929873185172</v>
      </c>
      <c r="AS63" s="71">
        <f t="shared" si="46"/>
        <v>0.19999999999999998</v>
      </c>
      <c r="AT63" s="74">
        <f t="shared" si="47"/>
        <v>3.96E-5</v>
      </c>
      <c r="AU63" s="73">
        <f t="shared" si="26"/>
        <v>7.98520282507784</v>
      </c>
      <c r="AV63" s="71">
        <f t="shared" si="27"/>
        <v>117.60000000000001</v>
      </c>
      <c r="AW63" s="74">
        <f t="shared" si="28"/>
        <v>93.641605344062654</v>
      </c>
    </row>
    <row r="64" spans="17:49" x14ac:dyDescent="0.25">
      <c r="Q64">
        <v>57</v>
      </c>
      <c r="R64" s="73">
        <f t="shared" si="0"/>
        <v>21</v>
      </c>
      <c r="S64" s="71">
        <f t="shared" si="32"/>
        <v>5.7</v>
      </c>
      <c r="T64" s="71">
        <f t="shared" si="2"/>
        <v>12</v>
      </c>
      <c r="U64" s="74">
        <f t="shared" si="33"/>
        <v>9.9749999999999996</v>
      </c>
      <c r="V64" s="73">
        <f>IF(Variable_Management!$B$20=3,2,IF((S64*R64/T64)&lt;((T64*(1-(T64/R64)))/(2*Lm*Fsw)),1,2))</f>
        <v>2</v>
      </c>
      <c r="W64" s="71">
        <f t="shared" si="34"/>
        <v>0.4285714285714286</v>
      </c>
      <c r="X64" s="74">
        <f t="shared" si="35"/>
        <v>0.5714285714285714</v>
      </c>
      <c r="Y64" s="73">
        <f t="shared" si="36"/>
        <v>2.5714285714285716</v>
      </c>
      <c r="Z64" s="71">
        <f t="shared" si="30"/>
        <v>11.260714285714286</v>
      </c>
      <c r="AA64" s="71">
        <f t="shared" si="31"/>
        <v>10.002581937088207</v>
      </c>
      <c r="AB64" s="71">
        <v>0</v>
      </c>
      <c r="AC64" s="71">
        <f t="shared" si="37"/>
        <v>0.1380712706632653</v>
      </c>
      <c r="AD64" s="74">
        <f t="shared" si="16"/>
        <v>0.1380712706632653</v>
      </c>
      <c r="AE64" s="73">
        <f t="shared" si="29"/>
        <v>4.2750000000000004</v>
      </c>
      <c r="AF64" s="71">
        <f t="shared" si="17"/>
        <v>6.5482269816721042</v>
      </c>
      <c r="AG64" s="71">
        <f t="shared" si="38"/>
        <v>0.3773376341107873</v>
      </c>
      <c r="AH64" s="71">
        <f t="shared" si="39"/>
        <v>3.9143348845059562</v>
      </c>
      <c r="AI64" s="74">
        <f t="shared" si="19"/>
        <v>4.2916725186167435</v>
      </c>
      <c r="AJ64" s="73">
        <f t="shared" si="20"/>
        <v>5.6999999999999993</v>
      </c>
      <c r="AK64" s="71">
        <f t="shared" si="40"/>
        <v>7.5612412211663189</v>
      </c>
      <c r="AL64" s="71">
        <f t="shared" si="41"/>
        <v>0.50311684548104962</v>
      </c>
      <c r="AM64" s="71">
        <f t="shared" si="48"/>
        <v>1.4388000000000003</v>
      </c>
      <c r="AN64" s="188">
        <f t="shared" si="42"/>
        <v>0.36034285714285719</v>
      </c>
      <c r="AO64" s="74">
        <f t="shared" si="24"/>
        <v>2.3022597026239073</v>
      </c>
      <c r="AP64" s="73">
        <f t="shared" si="43"/>
        <v>0.1500774681122449</v>
      </c>
      <c r="AQ64" s="206">
        <f t="shared" si="44"/>
        <v>0.1380712706632653</v>
      </c>
      <c r="AR64" s="206">
        <f t="shared" si="45"/>
        <v>0.88447929873185172</v>
      </c>
      <c r="AS64" s="71">
        <f t="shared" si="46"/>
        <v>0.19999999999999998</v>
      </c>
      <c r="AT64" s="74">
        <f t="shared" si="47"/>
        <v>3.96E-5</v>
      </c>
      <c r="AU64" s="73">
        <f t="shared" si="26"/>
        <v>8.1046711294112779</v>
      </c>
      <c r="AV64" s="71">
        <f t="shared" si="27"/>
        <v>119.7</v>
      </c>
      <c r="AW64" s="74">
        <f t="shared" si="28"/>
        <v>93.658548582152591</v>
      </c>
    </row>
    <row r="65" spans="17:49" x14ac:dyDescent="0.25">
      <c r="Q65">
        <v>58</v>
      </c>
      <c r="R65" s="73">
        <f t="shared" si="0"/>
        <v>21</v>
      </c>
      <c r="S65" s="71">
        <f t="shared" si="32"/>
        <v>5.8000000000000007</v>
      </c>
      <c r="T65" s="71">
        <f t="shared" si="2"/>
        <v>12</v>
      </c>
      <c r="U65" s="74">
        <f t="shared" si="33"/>
        <v>10.15</v>
      </c>
      <c r="V65" s="73">
        <f>IF(Variable_Management!$B$20=3,2,IF((S65*R65/T65)&lt;((T65*(1-(T65/R65)))/(2*Lm*Fsw)),1,2))</f>
        <v>2</v>
      </c>
      <c r="W65" s="71">
        <f t="shared" si="34"/>
        <v>0.4285714285714286</v>
      </c>
      <c r="X65" s="74">
        <f t="shared" si="35"/>
        <v>0.5714285714285714</v>
      </c>
      <c r="Y65" s="73">
        <f t="shared" si="36"/>
        <v>2.5714285714285716</v>
      </c>
      <c r="Z65" s="71">
        <f t="shared" si="30"/>
        <v>11.435714285714287</v>
      </c>
      <c r="AA65" s="71">
        <f t="shared" si="31"/>
        <v>10.177107664172727</v>
      </c>
      <c r="AB65" s="71">
        <v>0</v>
      </c>
      <c r="AC65" s="71">
        <f t="shared" si="37"/>
        <v>0.1429314581632653</v>
      </c>
      <c r="AD65" s="74">
        <f t="shared" si="16"/>
        <v>0.1429314581632653</v>
      </c>
      <c r="AE65" s="73">
        <f t="shared" si="29"/>
        <v>4.3500000000000005</v>
      </c>
      <c r="AF65" s="71">
        <f t="shared" si="17"/>
        <v>6.662480889540964</v>
      </c>
      <c r="AG65" s="71">
        <f t="shared" si="38"/>
        <v>0.39062013411078728</v>
      </c>
      <c r="AH65" s="71">
        <f t="shared" si="39"/>
        <v>3.9830074263393938</v>
      </c>
      <c r="AI65" s="74">
        <f t="shared" si="19"/>
        <v>4.3736275604501813</v>
      </c>
      <c r="AJ65" s="73">
        <f t="shared" si="20"/>
        <v>5.8</v>
      </c>
      <c r="AK65" s="71">
        <f t="shared" si="40"/>
        <v>7.6931702700944253</v>
      </c>
      <c r="AL65" s="71">
        <f t="shared" si="41"/>
        <v>0.52082684548104963</v>
      </c>
      <c r="AM65" s="71">
        <f t="shared" si="48"/>
        <v>1.4388000000000003</v>
      </c>
      <c r="AN65" s="188">
        <f t="shared" si="42"/>
        <v>0.36594285714285718</v>
      </c>
      <c r="AO65" s="74">
        <f t="shared" si="24"/>
        <v>2.3255697026239073</v>
      </c>
      <c r="AP65" s="73">
        <f t="shared" si="43"/>
        <v>0.15536028061224488</v>
      </c>
      <c r="AQ65" s="206">
        <f t="shared" si="44"/>
        <v>0.1429314581632653</v>
      </c>
      <c r="AR65" s="206">
        <f t="shared" si="45"/>
        <v>0.88447929873185172</v>
      </c>
      <c r="AS65" s="71">
        <f t="shared" si="46"/>
        <v>0.19999999999999998</v>
      </c>
      <c r="AT65" s="74">
        <f t="shared" si="47"/>
        <v>3.96E-5</v>
      </c>
      <c r="AU65" s="73">
        <f t="shared" si="26"/>
        <v>8.2249393587447166</v>
      </c>
      <c r="AV65" s="71">
        <f t="shared" si="27"/>
        <v>121.80000000000001</v>
      </c>
      <c r="AW65" s="74">
        <f t="shared" si="28"/>
        <v>93.674337093092802</v>
      </c>
    </row>
    <row r="66" spans="17:49" x14ac:dyDescent="0.25">
      <c r="Q66">
        <v>59</v>
      </c>
      <c r="R66" s="73">
        <f t="shared" si="0"/>
        <v>21</v>
      </c>
      <c r="S66" s="71">
        <f t="shared" si="32"/>
        <v>5.9</v>
      </c>
      <c r="T66" s="71">
        <f t="shared" si="2"/>
        <v>12</v>
      </c>
      <c r="U66" s="74">
        <f t="shared" si="33"/>
        <v>10.325000000000001</v>
      </c>
      <c r="V66" s="73">
        <f>IF(Variable_Management!$B$20=3,2,IF((S66*R66/T66)&lt;((T66*(1-(T66/R66)))/(2*Lm*Fsw)),1,2))</f>
        <v>2</v>
      </c>
      <c r="W66" s="71">
        <f t="shared" si="34"/>
        <v>0.4285714285714286</v>
      </c>
      <c r="X66" s="74">
        <f t="shared" si="35"/>
        <v>0.5714285714285714</v>
      </c>
      <c r="Y66" s="73">
        <f t="shared" si="36"/>
        <v>2.5714285714285716</v>
      </c>
      <c r="Z66" s="71">
        <f t="shared" si="30"/>
        <v>11.610714285714288</v>
      </c>
      <c r="AA66" s="71">
        <f t="shared" si="31"/>
        <v>10.351649405199312</v>
      </c>
      <c r="AB66" s="71">
        <v>0</v>
      </c>
      <c r="AC66" s="71">
        <f t="shared" si="37"/>
        <v>0.14787617066326533</v>
      </c>
      <c r="AD66" s="74">
        <f t="shared" si="16"/>
        <v>0.14787617066326533</v>
      </c>
      <c r="AE66" s="73">
        <f t="shared" si="29"/>
        <v>4.4250000000000007</v>
      </c>
      <c r="AF66" s="71">
        <f t="shared" si="17"/>
        <v>6.7767452809957796</v>
      </c>
      <c r="AG66" s="71">
        <f t="shared" si="38"/>
        <v>0.40413363411078745</v>
      </c>
      <c r="AH66" s="71">
        <f t="shared" si="39"/>
        <v>4.0516799681728326</v>
      </c>
      <c r="AI66" s="74">
        <f t="shared" si="19"/>
        <v>4.4558136022836203</v>
      </c>
      <c r="AJ66" s="73">
        <f t="shared" si="20"/>
        <v>5.9</v>
      </c>
      <c r="AK66" s="71">
        <f t="shared" si="40"/>
        <v>7.8251114244248781</v>
      </c>
      <c r="AL66" s="71">
        <f t="shared" si="41"/>
        <v>0.53884484548104983</v>
      </c>
      <c r="AM66" s="71">
        <f t="shared" si="48"/>
        <v>1.4388000000000003</v>
      </c>
      <c r="AN66" s="188">
        <f t="shared" si="42"/>
        <v>0.37154285714285723</v>
      </c>
      <c r="AO66" s="74">
        <f t="shared" si="24"/>
        <v>2.3491877026239076</v>
      </c>
      <c r="AP66" s="73">
        <f t="shared" si="43"/>
        <v>0.16073496811224494</v>
      </c>
      <c r="AQ66" s="206">
        <f t="shared" si="44"/>
        <v>0.14787617066326533</v>
      </c>
      <c r="AR66" s="206">
        <f t="shared" si="45"/>
        <v>0.88447929873185172</v>
      </c>
      <c r="AS66" s="71">
        <f t="shared" si="46"/>
        <v>0.19999999999999998</v>
      </c>
      <c r="AT66" s="74">
        <f t="shared" si="47"/>
        <v>3.96E-5</v>
      </c>
      <c r="AU66" s="73">
        <f t="shared" si="26"/>
        <v>8.3460075130781544</v>
      </c>
      <c r="AV66" s="71">
        <f t="shared" si="27"/>
        <v>123.9</v>
      </c>
      <c r="AW66" s="74">
        <f t="shared" si="28"/>
        <v>93.689028750260917</v>
      </c>
    </row>
    <row r="67" spans="17:49" x14ac:dyDescent="0.25">
      <c r="Q67">
        <v>60</v>
      </c>
      <c r="R67" s="73">
        <f t="shared" si="0"/>
        <v>21</v>
      </c>
      <c r="S67" s="71">
        <f t="shared" si="32"/>
        <v>6</v>
      </c>
      <c r="T67" s="71">
        <f t="shared" si="2"/>
        <v>12</v>
      </c>
      <c r="U67" s="74">
        <f t="shared" si="33"/>
        <v>10.5</v>
      </c>
      <c r="V67" s="73">
        <f>IF(Variable_Management!$B$20=3,2,IF((S67*R67/T67)&lt;((T67*(1-(T67/R67)))/(2*Lm*Fsw)),1,2))</f>
        <v>2</v>
      </c>
      <c r="W67" s="71">
        <f t="shared" si="34"/>
        <v>0.4285714285714286</v>
      </c>
      <c r="X67" s="74">
        <f t="shared" si="35"/>
        <v>0.5714285714285714</v>
      </c>
      <c r="Y67" s="73">
        <f t="shared" si="36"/>
        <v>2.5714285714285716</v>
      </c>
      <c r="Z67" s="71">
        <f t="shared" si="30"/>
        <v>11.785714285714286</v>
      </c>
      <c r="AA67" s="71">
        <f t="shared" si="31"/>
        <v>10.526206363555831</v>
      </c>
      <c r="AB67" s="71">
        <v>0</v>
      </c>
      <c r="AC67" s="71">
        <f t="shared" si="37"/>
        <v>0.15290540816326531</v>
      </c>
      <c r="AD67" s="74">
        <f t="shared" si="16"/>
        <v>0.15290540816326531</v>
      </c>
      <c r="AE67" s="73">
        <f t="shared" si="29"/>
        <v>4.5</v>
      </c>
      <c r="AF67" s="71">
        <f t="shared" si="17"/>
        <v>6.8910196345314931</v>
      </c>
      <c r="AG67" s="71">
        <f t="shared" si="38"/>
        <v>0.41787813411078734</v>
      </c>
      <c r="AH67" s="71">
        <f t="shared" si="39"/>
        <v>4.1203525100062697</v>
      </c>
      <c r="AI67" s="74">
        <f t="shared" si="19"/>
        <v>4.538230644117057</v>
      </c>
      <c r="AJ67" s="73">
        <f t="shared" si="20"/>
        <v>6</v>
      </c>
      <c r="AK67" s="71">
        <f t="shared" si="40"/>
        <v>7.9570640819755081</v>
      </c>
      <c r="AL67" s="71">
        <f t="shared" si="41"/>
        <v>0.55717084548104967</v>
      </c>
      <c r="AM67" s="71">
        <f t="shared" si="48"/>
        <v>1.4388000000000003</v>
      </c>
      <c r="AN67" s="188">
        <f t="shared" si="42"/>
        <v>0.37714285714285717</v>
      </c>
      <c r="AO67" s="74">
        <f t="shared" si="24"/>
        <v>2.3731137026239071</v>
      </c>
      <c r="AP67" s="73">
        <f t="shared" si="43"/>
        <v>0.16620153061224491</v>
      </c>
      <c r="AQ67" s="206">
        <f t="shared" si="44"/>
        <v>0.15290540816326531</v>
      </c>
      <c r="AR67" s="206">
        <f t="shared" si="45"/>
        <v>0.88447929873185172</v>
      </c>
      <c r="AS67" s="71">
        <f t="shared" si="46"/>
        <v>0.19999999999999998</v>
      </c>
      <c r="AT67" s="74">
        <f t="shared" si="47"/>
        <v>3.96E-5</v>
      </c>
      <c r="AU67" s="73">
        <f t="shared" si="26"/>
        <v>8.4678755924115929</v>
      </c>
      <c r="AV67" s="71">
        <f t="shared" si="27"/>
        <v>126</v>
      </c>
      <c r="AW67" s="74">
        <f t="shared" si="28"/>
        <v>93.702677643187627</v>
      </c>
    </row>
    <row r="68" spans="17:49" x14ac:dyDescent="0.25">
      <c r="Q68">
        <v>61</v>
      </c>
      <c r="R68" s="73">
        <f t="shared" si="0"/>
        <v>21</v>
      </c>
      <c r="S68" s="71">
        <f t="shared" si="32"/>
        <v>6.1000000000000005</v>
      </c>
      <c r="T68" s="71">
        <f t="shared" si="2"/>
        <v>12</v>
      </c>
      <c r="U68" s="74">
        <f t="shared" si="33"/>
        <v>10.675000000000002</v>
      </c>
      <c r="V68" s="73">
        <f>IF(Variable_Management!$B$20=3,2,IF((S68*R68/T68)&lt;((T68*(1-(T68/R68)))/(2*Lm*Fsw)),1,2))</f>
        <v>2</v>
      </c>
      <c r="W68" s="71">
        <f t="shared" si="34"/>
        <v>0.4285714285714286</v>
      </c>
      <c r="X68" s="74">
        <f t="shared" si="35"/>
        <v>0.5714285714285714</v>
      </c>
      <c r="Y68" s="73">
        <f t="shared" si="36"/>
        <v>2.5714285714285716</v>
      </c>
      <c r="Z68" s="71">
        <f t="shared" si="30"/>
        <v>11.960714285714289</v>
      </c>
      <c r="AA68" s="71">
        <f t="shared" si="31"/>
        <v>10.700777794542008</v>
      </c>
      <c r="AB68" s="71">
        <v>0</v>
      </c>
      <c r="AC68" s="71">
        <f t="shared" si="37"/>
        <v>0.15801917066326535</v>
      </c>
      <c r="AD68" s="74">
        <f t="shared" si="16"/>
        <v>0.15801917066326535</v>
      </c>
      <c r="AE68" s="73">
        <f t="shared" si="29"/>
        <v>4.5750000000000011</v>
      </c>
      <c r="AF68" s="71">
        <f t="shared" si="17"/>
        <v>7.0053034626273378</v>
      </c>
      <c r="AG68" s="71">
        <f t="shared" si="38"/>
        <v>0.43185363411078742</v>
      </c>
      <c r="AH68" s="71">
        <f t="shared" si="39"/>
        <v>4.1890250518397076</v>
      </c>
      <c r="AI68" s="74">
        <f t="shared" si="19"/>
        <v>4.6208786859504949</v>
      </c>
      <c r="AJ68" s="73">
        <f t="shared" si="20"/>
        <v>6.1000000000000014</v>
      </c>
      <c r="AK68" s="71">
        <f t="shared" si="40"/>
        <v>8.089027679805822</v>
      </c>
      <c r="AL68" s="71">
        <f t="shared" si="41"/>
        <v>0.57580484548104993</v>
      </c>
      <c r="AM68" s="71">
        <f t="shared" si="48"/>
        <v>1.4388000000000003</v>
      </c>
      <c r="AN68" s="188">
        <f t="shared" si="42"/>
        <v>0.38274285714285727</v>
      </c>
      <c r="AO68" s="74">
        <f t="shared" si="24"/>
        <v>2.3973477026239074</v>
      </c>
      <c r="AP68" s="73">
        <f t="shared" si="43"/>
        <v>0.17175996811224498</v>
      </c>
      <c r="AQ68" s="206">
        <f t="shared" si="44"/>
        <v>0.15801917066326535</v>
      </c>
      <c r="AR68" s="206">
        <f t="shared" si="45"/>
        <v>0.88447929873185172</v>
      </c>
      <c r="AS68" s="71">
        <f t="shared" si="46"/>
        <v>0.19999999999999998</v>
      </c>
      <c r="AT68" s="74">
        <f t="shared" si="47"/>
        <v>3.96E-5</v>
      </c>
      <c r="AU68" s="73">
        <f t="shared" si="26"/>
        <v>8.5905435967450305</v>
      </c>
      <c r="AV68" s="71">
        <f t="shared" si="27"/>
        <v>128.10000000000002</v>
      </c>
      <c r="AW68" s="74">
        <f t="shared" si="28"/>
        <v>93.715334381807537</v>
      </c>
    </row>
    <row r="69" spans="17:49" x14ac:dyDescent="0.25">
      <c r="Q69">
        <v>62</v>
      </c>
      <c r="R69" s="73">
        <f t="shared" si="0"/>
        <v>21</v>
      </c>
      <c r="S69" s="71">
        <f t="shared" si="32"/>
        <v>6.2</v>
      </c>
      <c r="T69" s="71">
        <f t="shared" si="2"/>
        <v>12</v>
      </c>
      <c r="U69" s="74">
        <f t="shared" si="33"/>
        <v>10.850000000000001</v>
      </c>
      <c r="V69" s="73">
        <f>IF(Variable_Management!$B$20=3,2,IF((S69*R69/T69)&lt;((T69*(1-(T69/R69)))/(2*Lm*Fsw)),1,2))</f>
        <v>2</v>
      </c>
      <c r="W69" s="71">
        <f t="shared" si="34"/>
        <v>0.4285714285714286</v>
      </c>
      <c r="X69" s="74">
        <f t="shared" si="35"/>
        <v>0.5714285714285714</v>
      </c>
      <c r="Y69" s="73">
        <f t="shared" si="36"/>
        <v>2.5714285714285716</v>
      </c>
      <c r="Z69" s="71">
        <f t="shared" si="30"/>
        <v>12.135714285714288</v>
      </c>
      <c r="AA69" s="71">
        <f t="shared" si="31"/>
        <v>10.87536300121349</v>
      </c>
      <c r="AB69" s="71">
        <v>0</v>
      </c>
      <c r="AC69" s="71">
        <f t="shared" si="37"/>
        <v>0.16321745816326533</v>
      </c>
      <c r="AD69" s="74">
        <f t="shared" si="16"/>
        <v>0.16321745816326533</v>
      </c>
      <c r="AE69" s="73">
        <f t="shared" si="29"/>
        <v>4.6500000000000012</v>
      </c>
      <c r="AF69" s="71">
        <f t="shared" si="17"/>
        <v>7.1195963090261358</v>
      </c>
      <c r="AG69" s="71">
        <f t="shared" si="38"/>
        <v>0.44606013411078749</v>
      </c>
      <c r="AH69" s="71">
        <f t="shared" si="39"/>
        <v>4.2576975936731456</v>
      </c>
      <c r="AI69" s="74">
        <f t="shared" si="19"/>
        <v>4.7037577277839331</v>
      </c>
      <c r="AJ69" s="73">
        <f t="shared" si="20"/>
        <v>6.2</v>
      </c>
      <c r="AK69" s="71">
        <f t="shared" si="40"/>
        <v>8.2210016910754096</v>
      </c>
      <c r="AL69" s="71">
        <f t="shared" si="41"/>
        <v>0.59474684548104972</v>
      </c>
      <c r="AM69" s="71">
        <f t="shared" si="48"/>
        <v>1.4388000000000003</v>
      </c>
      <c r="AN69" s="188">
        <f t="shared" si="42"/>
        <v>0.38834285714285721</v>
      </c>
      <c r="AO69" s="74">
        <f t="shared" si="24"/>
        <v>2.4218897026239072</v>
      </c>
      <c r="AP69" s="73">
        <f t="shared" si="43"/>
        <v>0.17741028061224492</v>
      </c>
      <c r="AQ69" s="206">
        <f t="shared" si="44"/>
        <v>0.16321745816326533</v>
      </c>
      <c r="AR69" s="206">
        <f t="shared" si="45"/>
        <v>0.88447929873185172</v>
      </c>
      <c r="AS69" s="71">
        <f t="shared" si="46"/>
        <v>0.19999999999999998</v>
      </c>
      <c r="AT69" s="74">
        <f t="shared" si="47"/>
        <v>3.96E-5</v>
      </c>
      <c r="AU69" s="73">
        <f t="shared" si="26"/>
        <v>8.7140115260784672</v>
      </c>
      <c r="AV69" s="71">
        <f t="shared" si="27"/>
        <v>130.20000000000002</v>
      </c>
      <c r="AW69" s="74">
        <f t="shared" si="28"/>
        <v>93.727046371817863</v>
      </c>
    </row>
    <row r="70" spans="17:49" x14ac:dyDescent="0.25">
      <c r="Q70">
        <v>63</v>
      </c>
      <c r="R70" s="73">
        <f t="shared" si="0"/>
        <v>21</v>
      </c>
      <c r="S70" s="71">
        <f t="shared" si="32"/>
        <v>6.3000000000000007</v>
      </c>
      <c r="T70" s="71">
        <f t="shared" si="2"/>
        <v>12</v>
      </c>
      <c r="U70" s="74">
        <f t="shared" si="33"/>
        <v>11.025</v>
      </c>
      <c r="V70" s="73">
        <f>IF(Variable_Management!$B$20=3,2,IF((S70*R70/T70)&lt;((T70*(1-(T70/R70)))/(2*Lm*Fsw)),1,2))</f>
        <v>2</v>
      </c>
      <c r="W70" s="71">
        <f t="shared" si="34"/>
        <v>0.4285714285714286</v>
      </c>
      <c r="X70" s="74">
        <f t="shared" si="35"/>
        <v>0.5714285714285714</v>
      </c>
      <c r="Y70" s="73">
        <f t="shared" si="36"/>
        <v>2.5714285714285716</v>
      </c>
      <c r="Z70" s="71">
        <f t="shared" si="30"/>
        <v>12.310714285714287</v>
      </c>
      <c r="AA70" s="71">
        <f t="shared" si="31"/>
        <v>11.04996133061846</v>
      </c>
      <c r="AB70" s="71">
        <v>0</v>
      </c>
      <c r="AC70" s="71">
        <f t="shared" si="37"/>
        <v>0.16850027066326534</v>
      </c>
      <c r="AD70" s="74">
        <f t="shared" si="16"/>
        <v>0.16850027066326534</v>
      </c>
      <c r="AE70" s="73">
        <f t="shared" si="29"/>
        <v>4.7250000000000005</v>
      </c>
      <c r="AF70" s="71">
        <f t="shared" si="17"/>
        <v>7.2338977462705794</v>
      </c>
      <c r="AG70" s="71">
        <f t="shared" si="38"/>
        <v>0.46049763411078742</v>
      </c>
      <c r="AH70" s="71">
        <f t="shared" si="39"/>
        <v>4.3263701355065827</v>
      </c>
      <c r="AI70" s="74">
        <f t="shared" si="19"/>
        <v>4.7868677696173698</v>
      </c>
      <c r="AJ70" s="73">
        <f t="shared" si="20"/>
        <v>6.3</v>
      </c>
      <c r="AK70" s="71">
        <f t="shared" si="40"/>
        <v>8.3529856221990908</v>
      </c>
      <c r="AL70" s="71">
        <f t="shared" si="41"/>
        <v>0.61399684548104971</v>
      </c>
      <c r="AM70" s="71">
        <f t="shared" si="48"/>
        <v>1.4388000000000003</v>
      </c>
      <c r="AN70" s="188">
        <f t="shared" si="42"/>
        <v>0.39394285714285721</v>
      </c>
      <c r="AO70" s="74">
        <f t="shared" si="24"/>
        <v>2.4467397026239071</v>
      </c>
      <c r="AP70" s="73">
        <f t="shared" si="43"/>
        <v>0.18315246811224495</v>
      </c>
      <c r="AQ70" s="206">
        <f t="shared" si="44"/>
        <v>0.16850027066326534</v>
      </c>
      <c r="AR70" s="206">
        <f t="shared" si="45"/>
        <v>0.88447929873185172</v>
      </c>
      <c r="AS70" s="71">
        <f t="shared" si="46"/>
        <v>0.19999999999999998</v>
      </c>
      <c r="AT70" s="74">
        <f t="shared" si="47"/>
        <v>3.96E-5</v>
      </c>
      <c r="AU70" s="73">
        <f t="shared" si="26"/>
        <v>8.8382793804119046</v>
      </c>
      <c r="AV70" s="71">
        <f t="shared" si="27"/>
        <v>132.30000000000001</v>
      </c>
      <c r="AW70" s="74">
        <f t="shared" si="28"/>
        <v>93.737858064295949</v>
      </c>
    </row>
    <row r="71" spans="17:49" x14ac:dyDescent="0.25">
      <c r="Q71">
        <v>64</v>
      </c>
      <c r="R71" s="73">
        <f t="shared" ref="R71:R134" si="49">VOUT</f>
        <v>21</v>
      </c>
      <c r="S71" s="71">
        <f t="shared" ref="S71:S102" si="50">Q71*$O$12</f>
        <v>6.4</v>
      </c>
      <c r="T71" s="71">
        <f t="shared" ref="T71:T134" si="51">VIN_var</f>
        <v>12</v>
      </c>
      <c r="U71" s="74">
        <f t="shared" ref="U71:U102" si="52">(R71*S71)/(T71*EFF_est)</f>
        <v>11.200000000000001</v>
      </c>
      <c r="V71" s="73">
        <f>IF(Variable_Management!$B$20=3,2,IF((S71*R71/T71)&lt;((T71*(1-(T71/R71)))/(2*Lm*Fsw)),1,2))</f>
        <v>2</v>
      </c>
      <c r="W71" s="71">
        <f t="shared" ref="W71:W102" si="53">CHOOSE(V71,SQRT((2*S71*Lm*Fsw*(R71-T71))/((T71)^2)),1-(T71/R71))</f>
        <v>0.4285714285714286</v>
      </c>
      <c r="X71" s="74">
        <f t="shared" ref="X71:X102" si="54">CHOOSE(V71,(Lm*Z71*Fsw)/(R71-T71),1-W71)</f>
        <v>0.5714285714285714</v>
      </c>
      <c r="Y71" s="73">
        <f t="shared" ref="Y71:Y102" si="55">(T71*W71)/(Lm*Fsw)</f>
        <v>2.5714285714285716</v>
      </c>
      <c r="Z71" s="71">
        <f t="shared" si="30"/>
        <v>12.485714285714288</v>
      </c>
      <c r="AA71" s="71">
        <f t="shared" si="31"/>
        <v>11.224572170384192</v>
      </c>
      <c r="AB71" s="71">
        <v>0</v>
      </c>
      <c r="AC71" s="71">
        <f t="shared" ref="AC71:AC102" si="56">(AA71^2)*Rdcr</f>
        <v>0.17386760816326532</v>
      </c>
      <c r="AD71" s="74">
        <f t="shared" si="16"/>
        <v>0.17386760816326532</v>
      </c>
      <c r="AE71" s="73">
        <f t="shared" si="29"/>
        <v>4.8000000000000007</v>
      </c>
      <c r="AF71" s="71">
        <f t="shared" si="17"/>
        <v>7.3482073734686191</v>
      </c>
      <c r="AG71" s="71">
        <f t="shared" ref="AG71:AG102" si="57">(AF71^2)*RDS_on</f>
        <v>0.47516613411078756</v>
      </c>
      <c r="AH71" s="71">
        <f t="shared" ref="AH71:AH102" si="58">((R71*U71)/2)*Fsw*(tr_sw+tf_sw)</f>
        <v>4.3950426773400215</v>
      </c>
      <c r="AI71" s="74">
        <f t="shared" si="19"/>
        <v>4.8702088114508086</v>
      </c>
      <c r="AJ71" s="73">
        <f t="shared" si="20"/>
        <v>6.4</v>
      </c>
      <c r="AK71" s="71">
        <f t="shared" ref="AK71:AK102" si="59">CHOOSE(V71,Z71*SQRT(X71/3),SQRT(X71*((Z71^2)+((Y71^2)/3)-(Y71*Z71))))</f>
        <v>8.4849790102665992</v>
      </c>
      <c r="AL71" s="71">
        <f t="shared" ref="AL71:AL102" si="60">(AK71^2)*RDS_on_HS</f>
        <v>0.6335548454810499</v>
      </c>
      <c r="AM71" s="71">
        <f t="shared" si="48"/>
        <v>1.4388000000000003</v>
      </c>
      <c r="AN71" s="188">
        <f t="shared" ref="AN71:AN102" si="61">Vd_rect*t_dead*Fsw*Z71</f>
        <v>0.3995428571428572</v>
      </c>
      <c r="AO71" s="74">
        <f t="shared" si="24"/>
        <v>2.4718977026239077</v>
      </c>
      <c r="AP71" s="73">
        <f t="shared" ref="AP71:AP102" si="62">(AA71^2)*R_cs</f>
        <v>0.18898653061224494</v>
      </c>
      <c r="AQ71" s="206">
        <f t="shared" ref="AQ71:AQ102" si="63">Rdcr*AA71^2</f>
        <v>0.17386760816326532</v>
      </c>
      <c r="AR71" s="206">
        <f t="shared" ref="AR71:AR102" si="64">ABS(7.759*10^-3*Fsw^0.9458*(0.00787*Y71)^2.304)</f>
        <v>0.88447929873185172</v>
      </c>
      <c r="AS71" s="71">
        <f t="shared" ref="AS71:AS102" si="65">(Qg_tot+Qg_tot_HS)*Vcc*Fsw</f>
        <v>0.19999999999999998</v>
      </c>
      <c r="AT71" s="74">
        <f t="shared" ref="AT71:AT102" si="66">IQ*T71</f>
        <v>3.96E-5</v>
      </c>
      <c r="AU71" s="73">
        <f t="shared" si="26"/>
        <v>8.9633471597453447</v>
      </c>
      <c r="AV71" s="71">
        <f t="shared" si="27"/>
        <v>134.4</v>
      </c>
      <c r="AW71" s="74">
        <f t="shared" si="28"/>
        <v>93.747811182339532</v>
      </c>
    </row>
    <row r="72" spans="17:49" x14ac:dyDescent="0.25">
      <c r="Q72">
        <v>65</v>
      </c>
      <c r="R72" s="73">
        <f t="shared" si="49"/>
        <v>21</v>
      </c>
      <c r="S72" s="71">
        <f t="shared" si="50"/>
        <v>6.5</v>
      </c>
      <c r="T72" s="71">
        <f t="shared" si="51"/>
        <v>12</v>
      </c>
      <c r="U72" s="74">
        <f t="shared" si="52"/>
        <v>11.375</v>
      </c>
      <c r="V72" s="73">
        <f>IF(Variable_Management!$B$20=3,2,IF((S72*R72/T72)&lt;((T72*(1-(T72/R72)))/(2*Lm*Fsw)),1,2))</f>
        <v>2</v>
      </c>
      <c r="W72" s="71">
        <f t="shared" si="53"/>
        <v>0.4285714285714286</v>
      </c>
      <c r="X72" s="74">
        <f t="shared" si="54"/>
        <v>0.5714285714285714</v>
      </c>
      <c r="Y72" s="73">
        <f t="shared" si="55"/>
        <v>2.5714285714285716</v>
      </c>
      <c r="Z72" s="71">
        <f t="shared" si="30"/>
        <v>12.660714285714286</v>
      </c>
      <c r="AA72" s="71">
        <f t="shared" si="31"/>
        <v>11.399194945616259</v>
      </c>
      <c r="AB72" s="71">
        <v>0</v>
      </c>
      <c r="AC72" s="71">
        <f t="shared" si="56"/>
        <v>0.17931947066326528</v>
      </c>
      <c r="AD72" s="74">
        <f t="shared" ref="AD72:AD135" si="67">AB72+AC72</f>
        <v>0.17931947066326528</v>
      </c>
      <c r="AE72" s="73">
        <f t="shared" si="29"/>
        <v>4.875</v>
      </c>
      <c r="AF72" s="71">
        <f t="shared" ref="AF72:AF135" si="68">CHOOSE(V72,Z72*SQRT(W72/3),SQRT(W72*((Z72^2)+((Y72^2)/3)-(Z72*Y72))))</f>
        <v>7.4625248142635048</v>
      </c>
      <c r="AG72" s="71">
        <f t="shared" si="57"/>
        <v>0.4900656341107873</v>
      </c>
      <c r="AH72" s="71">
        <f t="shared" si="58"/>
        <v>4.4637152191734586</v>
      </c>
      <c r="AI72" s="74">
        <f t="shared" ref="AI72:AI135" si="69">AG72+AH72</f>
        <v>4.953780853284246</v>
      </c>
      <c r="AJ72" s="73">
        <f t="shared" ref="AJ72:AJ135" si="70">X72*U72</f>
        <v>6.5</v>
      </c>
      <c r="AK72" s="71">
        <f t="shared" si="59"/>
        <v>8.6169814206985933</v>
      </c>
      <c r="AL72" s="71">
        <f t="shared" si="60"/>
        <v>0.65342084548104973</v>
      </c>
      <c r="AM72" s="71">
        <f t="shared" ref="AM72:AM103" si="71">CHOOSE(V72,(R72+Vd_rect)*Qrr*Fsw,(R72+Vd_rect)*Qrr*Fsw)</f>
        <v>1.4388000000000003</v>
      </c>
      <c r="AN72" s="188">
        <f t="shared" si="61"/>
        <v>0.40514285714285719</v>
      </c>
      <c r="AO72" s="74">
        <f t="shared" ref="AO72:AO135" si="72">AL72+AM72+AN72</f>
        <v>2.4973637026239071</v>
      </c>
      <c r="AP72" s="73">
        <f t="shared" si="62"/>
        <v>0.19491246811224489</v>
      </c>
      <c r="AQ72" s="206">
        <f t="shared" si="63"/>
        <v>0.17931947066326528</v>
      </c>
      <c r="AR72" s="206">
        <f t="shared" si="64"/>
        <v>0.88447929873185172</v>
      </c>
      <c r="AS72" s="71">
        <f t="shared" si="65"/>
        <v>0.19999999999999998</v>
      </c>
      <c r="AT72" s="74">
        <f t="shared" si="66"/>
        <v>3.96E-5</v>
      </c>
      <c r="AU72" s="73">
        <f t="shared" ref="AU72:AU135" si="73">AP72+AO72+AI72+AD72+AS72+AT72+AQ72+AR72</f>
        <v>9.0892148640787802</v>
      </c>
      <c r="AV72" s="71">
        <f t="shared" ref="AV72:AV135" si="74">R72*S72</f>
        <v>136.5</v>
      </c>
      <c r="AW72" s="74">
        <f t="shared" ref="AW72:AW135" si="75">(AV72/(AV72+AU72))*100</f>
        <v>93.756944927160703</v>
      </c>
    </row>
    <row r="73" spans="17:49" x14ac:dyDescent="0.25">
      <c r="Q73">
        <v>66</v>
      </c>
      <c r="R73" s="73">
        <f t="shared" si="49"/>
        <v>21</v>
      </c>
      <c r="S73" s="71">
        <f t="shared" si="50"/>
        <v>6.6000000000000005</v>
      </c>
      <c r="T73" s="71">
        <f t="shared" si="51"/>
        <v>12</v>
      </c>
      <c r="U73" s="74">
        <f t="shared" si="52"/>
        <v>11.550000000000002</v>
      </c>
      <c r="V73" s="73">
        <f>IF(Variable_Management!$B$20=3,2,IF((S73*R73/T73)&lt;((T73*(1-(T73/R73)))/(2*Lm*Fsw)),1,2))</f>
        <v>2</v>
      </c>
      <c r="W73" s="71">
        <f t="shared" si="53"/>
        <v>0.4285714285714286</v>
      </c>
      <c r="X73" s="74">
        <f t="shared" si="54"/>
        <v>0.5714285714285714</v>
      </c>
      <c r="Y73" s="73">
        <f t="shared" si="55"/>
        <v>2.5714285714285716</v>
      </c>
      <c r="Z73" s="71">
        <f t="shared" si="30"/>
        <v>12.835714285714289</v>
      </c>
      <c r="AA73" s="71">
        <f t="shared" si="31"/>
        <v>11.573829116077501</v>
      </c>
      <c r="AB73" s="71">
        <v>0</v>
      </c>
      <c r="AC73" s="71">
        <f t="shared" si="56"/>
        <v>0.18485585816326536</v>
      </c>
      <c r="AD73" s="74">
        <f t="shared" si="67"/>
        <v>0.18485585816326536</v>
      </c>
      <c r="AE73" s="73">
        <f t="shared" ref="AE73:AE136" si="76">U73*W73</f>
        <v>4.9500000000000011</v>
      </c>
      <c r="AF73" s="71">
        <f t="shared" si="68"/>
        <v>7.5768497149869996</v>
      </c>
      <c r="AG73" s="71">
        <f t="shared" si="57"/>
        <v>0.50519613411078745</v>
      </c>
      <c r="AH73" s="71">
        <f t="shared" si="58"/>
        <v>4.5323877610068974</v>
      </c>
      <c r="AI73" s="74">
        <f t="shared" si="69"/>
        <v>5.0375838951176846</v>
      </c>
      <c r="AJ73" s="73">
        <f t="shared" si="70"/>
        <v>6.6000000000000014</v>
      </c>
      <c r="AK73" s="71">
        <f t="shared" si="59"/>
        <v>8.7489924451141672</v>
      </c>
      <c r="AL73" s="71">
        <f t="shared" si="60"/>
        <v>0.67359484548105009</v>
      </c>
      <c r="AM73" s="71">
        <f t="shared" si="71"/>
        <v>1.4388000000000003</v>
      </c>
      <c r="AN73" s="188">
        <f t="shared" si="61"/>
        <v>0.41074285714285724</v>
      </c>
      <c r="AO73" s="74">
        <f t="shared" si="72"/>
        <v>2.5231377026239077</v>
      </c>
      <c r="AP73" s="73">
        <f t="shared" si="62"/>
        <v>0.20093028061224497</v>
      </c>
      <c r="AQ73" s="206">
        <f t="shared" si="63"/>
        <v>0.18485585816326536</v>
      </c>
      <c r="AR73" s="206">
        <f t="shared" si="64"/>
        <v>0.88447929873185172</v>
      </c>
      <c r="AS73" s="71">
        <f t="shared" si="65"/>
        <v>0.19999999999999998</v>
      </c>
      <c r="AT73" s="74">
        <f t="shared" si="66"/>
        <v>3.96E-5</v>
      </c>
      <c r="AU73" s="73">
        <f t="shared" si="73"/>
        <v>9.2158824934122201</v>
      </c>
      <c r="AV73" s="71">
        <f t="shared" si="74"/>
        <v>138.60000000000002</v>
      </c>
      <c r="AW73" s="74">
        <f t="shared" si="75"/>
        <v>93.765296165773705</v>
      </c>
    </row>
    <row r="74" spans="17:49" x14ac:dyDescent="0.25">
      <c r="Q74">
        <v>67</v>
      </c>
      <c r="R74" s="73">
        <f t="shared" si="49"/>
        <v>21</v>
      </c>
      <c r="S74" s="71">
        <f t="shared" si="50"/>
        <v>6.7</v>
      </c>
      <c r="T74" s="71">
        <f t="shared" si="51"/>
        <v>12</v>
      </c>
      <c r="U74" s="74">
        <f t="shared" si="52"/>
        <v>11.725000000000001</v>
      </c>
      <c r="V74" s="73">
        <f>IF(Variable_Management!$B$20=3,2,IF((S74*R74/T74)&lt;((T74*(1-(T74/R74)))/(2*Lm*Fsw)),1,2))</f>
        <v>2</v>
      </c>
      <c r="W74" s="71">
        <f t="shared" si="53"/>
        <v>0.4285714285714286</v>
      </c>
      <c r="X74" s="74">
        <f t="shared" si="54"/>
        <v>0.5714285714285714</v>
      </c>
      <c r="Y74" s="73">
        <f t="shared" si="55"/>
        <v>2.5714285714285716</v>
      </c>
      <c r="Z74" s="71">
        <f t="shared" si="30"/>
        <v>13.010714285714288</v>
      </c>
      <c r="AA74" s="71">
        <f t="shared" si="31"/>
        <v>11.748474173617751</v>
      </c>
      <c r="AB74" s="71">
        <v>0</v>
      </c>
      <c r="AC74" s="71">
        <f t="shared" si="56"/>
        <v>0.19047677066326532</v>
      </c>
      <c r="AD74" s="74">
        <f t="shared" si="67"/>
        <v>0.19047677066326532</v>
      </c>
      <c r="AE74" s="73">
        <f t="shared" si="76"/>
        <v>5.0250000000000012</v>
      </c>
      <c r="AF74" s="71">
        <f t="shared" si="68"/>
        <v>7.6911817429767311</v>
      </c>
      <c r="AG74" s="71">
        <f t="shared" si="57"/>
        <v>0.52055763411078759</v>
      </c>
      <c r="AH74" s="71">
        <f t="shared" si="58"/>
        <v>4.6010603028403345</v>
      </c>
      <c r="AI74" s="74">
        <f t="shared" si="69"/>
        <v>5.1216179369511217</v>
      </c>
      <c r="AJ74" s="73">
        <f t="shared" si="70"/>
        <v>6.7</v>
      </c>
      <c r="AK74" s="71">
        <f t="shared" si="59"/>
        <v>8.8810116993878996</v>
      </c>
      <c r="AL74" s="71">
        <f t="shared" si="60"/>
        <v>0.69407684548104975</v>
      </c>
      <c r="AM74" s="71">
        <f t="shared" si="71"/>
        <v>1.4388000000000003</v>
      </c>
      <c r="AN74" s="188">
        <f t="shared" si="61"/>
        <v>0.41634285714285724</v>
      </c>
      <c r="AO74" s="74">
        <f t="shared" si="72"/>
        <v>2.5492197026239074</v>
      </c>
      <c r="AP74" s="73">
        <f t="shared" si="62"/>
        <v>0.20703996811224493</v>
      </c>
      <c r="AQ74" s="206">
        <f t="shared" si="63"/>
        <v>0.19047677066326532</v>
      </c>
      <c r="AR74" s="206">
        <f t="shared" si="64"/>
        <v>0.88447929873185172</v>
      </c>
      <c r="AS74" s="71">
        <f t="shared" si="65"/>
        <v>0.19999999999999998</v>
      </c>
      <c r="AT74" s="74">
        <f t="shared" si="66"/>
        <v>3.96E-5</v>
      </c>
      <c r="AU74" s="73">
        <f t="shared" si="73"/>
        <v>9.3433500477456555</v>
      </c>
      <c r="AV74" s="71">
        <f t="shared" si="74"/>
        <v>140.70000000000002</v>
      </c>
      <c r="AW74" s="74">
        <f t="shared" si="75"/>
        <v>93.77289960216666</v>
      </c>
    </row>
    <row r="75" spans="17:49" x14ac:dyDescent="0.25">
      <c r="Q75">
        <v>68</v>
      </c>
      <c r="R75" s="73">
        <f t="shared" si="49"/>
        <v>21</v>
      </c>
      <c r="S75" s="71">
        <f t="shared" si="50"/>
        <v>6.8000000000000007</v>
      </c>
      <c r="T75" s="71">
        <f t="shared" si="51"/>
        <v>12</v>
      </c>
      <c r="U75" s="74">
        <f t="shared" si="52"/>
        <v>11.9</v>
      </c>
      <c r="V75" s="73">
        <f>IF(Variable_Management!$B$20=3,2,IF((S75*R75/T75)&lt;((T75*(1-(T75/R75)))/(2*Lm*Fsw)),1,2))</f>
        <v>2</v>
      </c>
      <c r="W75" s="71">
        <f t="shared" si="53"/>
        <v>0.4285714285714286</v>
      </c>
      <c r="X75" s="74">
        <f t="shared" si="54"/>
        <v>0.5714285714285714</v>
      </c>
      <c r="Y75" s="73">
        <f t="shared" si="55"/>
        <v>2.5714285714285716</v>
      </c>
      <c r="Z75" s="71">
        <f t="shared" si="30"/>
        <v>13.185714285714287</v>
      </c>
      <c r="AA75" s="71">
        <f t="shared" si="31"/>
        <v>11.923129639828767</v>
      </c>
      <c r="AB75" s="71">
        <v>0</v>
      </c>
      <c r="AC75" s="71">
        <f t="shared" si="56"/>
        <v>0.19618220816326529</v>
      </c>
      <c r="AD75" s="74">
        <f t="shared" si="67"/>
        <v>0.19618220816326529</v>
      </c>
      <c r="AE75" s="73">
        <f t="shared" si="76"/>
        <v>5.1000000000000005</v>
      </c>
      <c r="AF75" s="71">
        <f t="shared" si="68"/>
        <v>7.805520585040985</v>
      </c>
      <c r="AG75" s="71">
        <f t="shared" si="57"/>
        <v>0.53615013411078738</v>
      </c>
      <c r="AH75" s="71">
        <f t="shared" si="58"/>
        <v>4.6697328446737725</v>
      </c>
      <c r="AI75" s="74">
        <f t="shared" si="69"/>
        <v>5.20588297878456</v>
      </c>
      <c r="AJ75" s="73">
        <f t="shared" si="70"/>
        <v>6.8</v>
      </c>
      <c r="AK75" s="71">
        <f t="shared" si="59"/>
        <v>9.0130388218771547</v>
      </c>
      <c r="AL75" s="71">
        <f t="shared" si="60"/>
        <v>0.71486684548104962</v>
      </c>
      <c r="AM75" s="71">
        <f t="shared" si="71"/>
        <v>1.4388000000000003</v>
      </c>
      <c r="AN75" s="188">
        <f t="shared" si="61"/>
        <v>0.42194285714285718</v>
      </c>
      <c r="AO75" s="74">
        <f t="shared" si="72"/>
        <v>2.5756097026239071</v>
      </c>
      <c r="AP75" s="73">
        <f t="shared" si="62"/>
        <v>0.21324153061224491</v>
      </c>
      <c r="AQ75" s="206">
        <f t="shared" si="63"/>
        <v>0.19618220816326529</v>
      </c>
      <c r="AR75" s="206">
        <f t="shared" si="64"/>
        <v>0.88447929873185172</v>
      </c>
      <c r="AS75" s="71">
        <f t="shared" si="65"/>
        <v>0.19999999999999998</v>
      </c>
      <c r="AT75" s="74">
        <f t="shared" si="66"/>
        <v>3.96E-5</v>
      </c>
      <c r="AU75" s="73">
        <f t="shared" si="73"/>
        <v>9.4716175270790917</v>
      </c>
      <c r="AV75" s="71">
        <f t="shared" si="74"/>
        <v>142.80000000000001</v>
      </c>
      <c r="AW75" s="74">
        <f t="shared" si="75"/>
        <v>93.779787933628057</v>
      </c>
    </row>
    <row r="76" spans="17:49" x14ac:dyDescent="0.25">
      <c r="Q76">
        <v>69</v>
      </c>
      <c r="R76" s="73">
        <f t="shared" si="49"/>
        <v>21</v>
      </c>
      <c r="S76" s="71">
        <f t="shared" si="50"/>
        <v>6.9</v>
      </c>
      <c r="T76" s="71">
        <f t="shared" si="51"/>
        <v>12</v>
      </c>
      <c r="U76" s="74">
        <f t="shared" si="52"/>
        <v>12.075000000000001</v>
      </c>
      <c r="V76" s="73">
        <f>IF(Variable_Management!$B$20=3,2,IF((S76*R76/T76)&lt;((T76*(1-(T76/R76)))/(2*Lm*Fsw)),1,2))</f>
        <v>2</v>
      </c>
      <c r="W76" s="71">
        <f t="shared" si="53"/>
        <v>0.4285714285714286</v>
      </c>
      <c r="X76" s="74">
        <f t="shared" si="54"/>
        <v>0.5714285714285714</v>
      </c>
      <c r="Y76" s="73">
        <f t="shared" si="55"/>
        <v>2.5714285714285716</v>
      </c>
      <c r="Z76" s="71">
        <f t="shared" si="30"/>
        <v>13.360714285714288</v>
      </c>
      <c r="AA76" s="71">
        <f t="shared" si="31"/>
        <v>12.097795063901657</v>
      </c>
      <c r="AB76" s="71">
        <v>0</v>
      </c>
      <c r="AC76" s="71">
        <f t="shared" si="56"/>
        <v>0.20197217066326534</v>
      </c>
      <c r="AD76" s="74">
        <f t="shared" si="67"/>
        <v>0.20197217066326534</v>
      </c>
      <c r="AE76" s="73">
        <f t="shared" si="76"/>
        <v>5.1750000000000007</v>
      </c>
      <c r="AF76" s="71">
        <f t="shared" si="68"/>
        <v>7.9198659460560679</v>
      </c>
      <c r="AG76" s="71">
        <f t="shared" si="57"/>
        <v>0.55197363411078748</v>
      </c>
      <c r="AH76" s="71">
        <f t="shared" si="58"/>
        <v>4.7384053865072104</v>
      </c>
      <c r="AI76" s="74">
        <f t="shared" si="69"/>
        <v>5.2903790206179977</v>
      </c>
      <c r="AJ76" s="73">
        <f t="shared" si="70"/>
        <v>6.9</v>
      </c>
      <c r="AK76" s="71">
        <f t="shared" si="59"/>
        <v>9.1450734718024407</v>
      </c>
      <c r="AL76" s="71">
        <f t="shared" si="60"/>
        <v>0.7359648454810499</v>
      </c>
      <c r="AM76" s="71">
        <f t="shared" si="71"/>
        <v>1.4388000000000003</v>
      </c>
      <c r="AN76" s="188">
        <f t="shared" si="61"/>
        <v>0.42754285714285722</v>
      </c>
      <c r="AO76" s="74">
        <f t="shared" si="72"/>
        <v>2.6023077026239072</v>
      </c>
      <c r="AP76" s="73">
        <f t="shared" si="62"/>
        <v>0.21953496811224496</v>
      </c>
      <c r="AQ76" s="206">
        <f t="shared" si="63"/>
        <v>0.20197217066326534</v>
      </c>
      <c r="AR76" s="206">
        <f t="shared" si="64"/>
        <v>0.88447929873185172</v>
      </c>
      <c r="AS76" s="71">
        <f t="shared" si="65"/>
        <v>0.19999999999999998</v>
      </c>
      <c r="AT76" s="74">
        <f t="shared" si="66"/>
        <v>3.96E-5</v>
      </c>
      <c r="AU76" s="73">
        <f t="shared" si="73"/>
        <v>9.6006849314125322</v>
      </c>
      <c r="AV76" s="71">
        <f t="shared" si="74"/>
        <v>144.9</v>
      </c>
      <c r="AW76" s="74">
        <f t="shared" si="75"/>
        <v>93.785991993708919</v>
      </c>
    </row>
    <row r="77" spans="17:49" x14ac:dyDescent="0.25">
      <c r="Q77">
        <v>70</v>
      </c>
      <c r="R77" s="73">
        <f t="shared" si="49"/>
        <v>21</v>
      </c>
      <c r="S77" s="71">
        <f t="shared" si="50"/>
        <v>7</v>
      </c>
      <c r="T77" s="71">
        <f t="shared" si="51"/>
        <v>12</v>
      </c>
      <c r="U77" s="74">
        <f t="shared" si="52"/>
        <v>12.25</v>
      </c>
      <c r="V77" s="73">
        <f>IF(Variable_Management!$B$20=3,2,IF((S77*R77/T77)&lt;((T77*(1-(T77/R77)))/(2*Lm*Fsw)),1,2))</f>
        <v>2</v>
      </c>
      <c r="W77" s="71">
        <f t="shared" si="53"/>
        <v>0.4285714285714286</v>
      </c>
      <c r="X77" s="74">
        <f t="shared" si="54"/>
        <v>0.5714285714285714</v>
      </c>
      <c r="Y77" s="73">
        <f t="shared" si="55"/>
        <v>2.5714285714285716</v>
      </c>
      <c r="Z77" s="71">
        <f t="shared" si="30"/>
        <v>13.535714285714286</v>
      </c>
      <c r="AA77" s="71">
        <f t="shared" si="31"/>
        <v>12.272470020666715</v>
      </c>
      <c r="AB77" s="71">
        <v>0</v>
      </c>
      <c r="AC77" s="71">
        <f t="shared" si="56"/>
        <v>0.20784665816326531</v>
      </c>
      <c r="AD77" s="74">
        <f t="shared" si="67"/>
        <v>0.20784665816326531</v>
      </c>
      <c r="AE77" s="73">
        <f t="shared" si="76"/>
        <v>5.25</v>
      </c>
      <c r="AF77" s="71">
        <f t="shared" si="68"/>
        <v>8.0342175476830704</v>
      </c>
      <c r="AG77" s="71">
        <f t="shared" si="57"/>
        <v>0.56802813411078745</v>
      </c>
      <c r="AH77" s="71">
        <f t="shared" si="58"/>
        <v>4.8070779283406475</v>
      </c>
      <c r="AI77" s="74">
        <f t="shared" si="69"/>
        <v>5.3751060624514349</v>
      </c>
      <c r="AJ77" s="73">
        <f t="shared" si="70"/>
        <v>7</v>
      </c>
      <c r="AK77" s="71">
        <f t="shared" si="59"/>
        <v>9.2771153277656708</v>
      </c>
      <c r="AL77" s="71">
        <f t="shared" si="60"/>
        <v>0.75737084548104994</v>
      </c>
      <c r="AM77" s="71">
        <f t="shared" si="71"/>
        <v>1.4388000000000003</v>
      </c>
      <c r="AN77" s="188">
        <f t="shared" si="61"/>
        <v>0.43314285714285716</v>
      </c>
      <c r="AO77" s="74">
        <f t="shared" si="72"/>
        <v>2.6293137026239073</v>
      </c>
      <c r="AP77" s="73">
        <f t="shared" si="62"/>
        <v>0.22592028061224492</v>
      </c>
      <c r="AQ77" s="206">
        <f t="shared" si="63"/>
        <v>0.20784665816326531</v>
      </c>
      <c r="AR77" s="206">
        <f t="shared" si="64"/>
        <v>0.88447929873185172</v>
      </c>
      <c r="AS77" s="71">
        <f t="shared" si="65"/>
        <v>0.19999999999999998</v>
      </c>
      <c r="AT77" s="74">
        <f t="shared" si="66"/>
        <v>3.96E-5</v>
      </c>
      <c r="AU77" s="73">
        <f t="shared" si="73"/>
        <v>9.73055226074597</v>
      </c>
      <c r="AV77" s="71">
        <f t="shared" si="74"/>
        <v>147</v>
      </c>
      <c r="AW77" s="74">
        <f t="shared" si="75"/>
        <v>93.791540883134473</v>
      </c>
    </row>
    <row r="78" spans="17:49" x14ac:dyDescent="0.25">
      <c r="Q78">
        <v>71</v>
      </c>
      <c r="R78" s="73">
        <f t="shared" si="49"/>
        <v>21</v>
      </c>
      <c r="S78" s="71">
        <f t="shared" si="50"/>
        <v>7.1000000000000005</v>
      </c>
      <c r="T78" s="71">
        <f t="shared" si="51"/>
        <v>12</v>
      </c>
      <c r="U78" s="74">
        <f t="shared" si="52"/>
        <v>12.425000000000002</v>
      </c>
      <c r="V78" s="73">
        <f>IF(Variable_Management!$B$20=3,2,IF((S78*R78/T78)&lt;((T78*(1-(T78/R78)))/(2*Lm*Fsw)),1,2))</f>
        <v>2</v>
      </c>
      <c r="W78" s="71">
        <f t="shared" si="53"/>
        <v>0.4285714285714286</v>
      </c>
      <c r="X78" s="74">
        <f t="shared" si="54"/>
        <v>0.5714285714285714</v>
      </c>
      <c r="Y78" s="73">
        <f t="shared" si="55"/>
        <v>2.5714285714285716</v>
      </c>
      <c r="Z78" s="71">
        <f t="shared" si="30"/>
        <v>13.710714285714289</v>
      </c>
      <c r="AA78" s="71">
        <f t="shared" si="31"/>
        <v>12.447154108797855</v>
      </c>
      <c r="AB78" s="71">
        <v>0</v>
      </c>
      <c r="AC78" s="71">
        <f t="shared" si="56"/>
        <v>0.21380567066326542</v>
      </c>
      <c r="AD78" s="74">
        <f t="shared" si="67"/>
        <v>0.21380567066326542</v>
      </c>
      <c r="AE78" s="73">
        <f t="shared" si="76"/>
        <v>5.3250000000000011</v>
      </c>
      <c r="AF78" s="71">
        <f t="shared" si="68"/>
        <v>8.1485751271923963</v>
      </c>
      <c r="AG78" s="71">
        <f t="shared" si="57"/>
        <v>0.58431363411078752</v>
      </c>
      <c r="AH78" s="71">
        <f t="shared" si="58"/>
        <v>4.8757504701740864</v>
      </c>
      <c r="AI78" s="74">
        <f t="shared" si="69"/>
        <v>5.4600641042848741</v>
      </c>
      <c r="AJ78" s="73">
        <f t="shared" si="70"/>
        <v>7.1000000000000014</v>
      </c>
      <c r="AK78" s="71">
        <f t="shared" si="59"/>
        <v>9.4091640863928383</v>
      </c>
      <c r="AL78" s="71">
        <f t="shared" si="60"/>
        <v>0.77908484548105006</v>
      </c>
      <c r="AM78" s="71">
        <f t="shared" si="71"/>
        <v>1.4388000000000003</v>
      </c>
      <c r="AN78" s="188">
        <f t="shared" si="61"/>
        <v>0.43874285714285727</v>
      </c>
      <c r="AO78" s="74">
        <f t="shared" si="72"/>
        <v>2.6566277026239073</v>
      </c>
      <c r="AP78" s="73">
        <f t="shared" si="62"/>
        <v>0.23239746811224501</v>
      </c>
      <c r="AQ78" s="206">
        <f t="shared" si="63"/>
        <v>0.21380567066326542</v>
      </c>
      <c r="AR78" s="206">
        <f t="shared" si="64"/>
        <v>0.88447929873185172</v>
      </c>
      <c r="AS78" s="71">
        <f t="shared" si="65"/>
        <v>0.19999999999999998</v>
      </c>
      <c r="AT78" s="74">
        <f t="shared" si="66"/>
        <v>3.96E-5</v>
      </c>
      <c r="AU78" s="73">
        <f t="shared" si="73"/>
        <v>9.8612195150794086</v>
      </c>
      <c r="AV78" s="71">
        <f t="shared" si="74"/>
        <v>149.10000000000002</v>
      </c>
      <c r="AW78" s="74">
        <f t="shared" si="75"/>
        <v>93.796462089834478</v>
      </c>
    </row>
    <row r="79" spans="17:49" x14ac:dyDescent="0.25">
      <c r="Q79">
        <v>72</v>
      </c>
      <c r="R79" s="73">
        <f t="shared" si="49"/>
        <v>21</v>
      </c>
      <c r="S79" s="71">
        <f t="shared" si="50"/>
        <v>7.2</v>
      </c>
      <c r="T79" s="71">
        <f t="shared" si="51"/>
        <v>12</v>
      </c>
      <c r="U79" s="74">
        <f t="shared" si="52"/>
        <v>12.600000000000001</v>
      </c>
      <c r="V79" s="73">
        <f>IF(Variable_Management!$B$20=3,2,IF((S79*R79/T79)&lt;((T79*(1-(T79/R79)))/(2*Lm*Fsw)),1,2))</f>
        <v>2</v>
      </c>
      <c r="W79" s="71">
        <f t="shared" si="53"/>
        <v>0.4285714285714286</v>
      </c>
      <c r="X79" s="74">
        <f t="shared" si="54"/>
        <v>0.5714285714285714</v>
      </c>
      <c r="Y79" s="73">
        <f t="shared" si="55"/>
        <v>2.5714285714285716</v>
      </c>
      <c r="Z79" s="71">
        <f t="shared" si="30"/>
        <v>13.885714285714288</v>
      </c>
      <c r="AA79" s="71">
        <f t="shared" si="31"/>
        <v>12.621846949165693</v>
      </c>
      <c r="AB79" s="71">
        <v>0</v>
      </c>
      <c r="AC79" s="71">
        <f t="shared" si="56"/>
        <v>0.21984920816326539</v>
      </c>
      <c r="AD79" s="74">
        <f t="shared" si="67"/>
        <v>0.21984920816326539</v>
      </c>
      <c r="AE79" s="73">
        <f t="shared" si="76"/>
        <v>5.4000000000000012</v>
      </c>
      <c r="AF79" s="71">
        <f t="shared" si="68"/>
        <v>8.2629384363856033</v>
      </c>
      <c r="AG79" s="71">
        <f t="shared" si="57"/>
        <v>0.60083013411078734</v>
      </c>
      <c r="AH79" s="71">
        <f t="shared" si="58"/>
        <v>4.9444230120075243</v>
      </c>
      <c r="AI79" s="74">
        <f t="shared" si="69"/>
        <v>5.5452531461183119</v>
      </c>
      <c r="AJ79" s="73">
        <f t="shared" si="70"/>
        <v>7.2</v>
      </c>
      <c r="AK79" s="71">
        <f t="shared" si="59"/>
        <v>9.5412194610890673</v>
      </c>
      <c r="AL79" s="71">
        <f t="shared" si="60"/>
        <v>0.80110684548104993</v>
      </c>
      <c r="AM79" s="71">
        <f t="shared" si="71"/>
        <v>1.4388000000000003</v>
      </c>
      <c r="AN79" s="188">
        <f t="shared" si="61"/>
        <v>0.44434285714285721</v>
      </c>
      <c r="AO79" s="74">
        <f t="shared" si="72"/>
        <v>2.6842497026239074</v>
      </c>
      <c r="AP79" s="73">
        <f t="shared" si="62"/>
        <v>0.23896653061224499</v>
      </c>
      <c r="AQ79" s="206">
        <f t="shared" si="63"/>
        <v>0.21984920816326539</v>
      </c>
      <c r="AR79" s="206">
        <f t="shared" si="64"/>
        <v>0.88447929873185172</v>
      </c>
      <c r="AS79" s="71">
        <f t="shared" si="65"/>
        <v>0.19999999999999998</v>
      </c>
      <c r="AT79" s="74">
        <f t="shared" si="66"/>
        <v>3.96E-5</v>
      </c>
      <c r="AU79" s="73">
        <f t="shared" si="73"/>
        <v>9.9926866944128463</v>
      </c>
      <c r="AV79" s="71">
        <f t="shared" si="74"/>
        <v>151.20000000000002</v>
      </c>
      <c r="AW79" s="74">
        <f t="shared" si="75"/>
        <v>93.800781599132449</v>
      </c>
    </row>
    <row r="80" spans="17:49" x14ac:dyDescent="0.25">
      <c r="Q80">
        <v>73</v>
      </c>
      <c r="R80" s="73">
        <f t="shared" si="49"/>
        <v>21</v>
      </c>
      <c r="S80" s="71">
        <f t="shared" si="50"/>
        <v>7.3000000000000007</v>
      </c>
      <c r="T80" s="71">
        <f t="shared" si="51"/>
        <v>12</v>
      </c>
      <c r="U80" s="74">
        <f t="shared" si="52"/>
        <v>12.775</v>
      </c>
      <c r="V80" s="73">
        <f>IF(Variable_Management!$B$20=3,2,IF((S80*R80/T80)&lt;((T80*(1-(T80/R80)))/(2*Lm*Fsw)),1,2))</f>
        <v>2</v>
      </c>
      <c r="W80" s="71">
        <f t="shared" si="53"/>
        <v>0.4285714285714286</v>
      </c>
      <c r="X80" s="74">
        <f t="shared" si="54"/>
        <v>0.5714285714285714</v>
      </c>
      <c r="Y80" s="73">
        <f t="shared" si="55"/>
        <v>2.5714285714285716</v>
      </c>
      <c r="Z80" s="71">
        <f t="shared" ref="Z80:Z143" si="77">CHOOSE(V80,Y80,U80+(0.5*Y80))</f>
        <v>14.060714285714287</v>
      </c>
      <c r="AA80" s="71">
        <f t="shared" ref="AA80:AA143" si="78">CHOOSE(V80,Z80*SQRT((W80+X80)/3),SQRT((U80^2)+((Y80^2)/12)))</f>
        <v>12.796548183325191</v>
      </c>
      <c r="AB80" s="71">
        <v>0</v>
      </c>
      <c r="AC80" s="71">
        <f t="shared" si="56"/>
        <v>0.22597727066326528</v>
      </c>
      <c r="AD80" s="74">
        <f t="shared" si="67"/>
        <v>0.22597727066326528</v>
      </c>
      <c r="AE80" s="73">
        <f t="shared" si="76"/>
        <v>5.4750000000000005</v>
      </c>
      <c r="AF80" s="71">
        <f t="shared" si="68"/>
        <v>8.377307240605333</v>
      </c>
      <c r="AG80" s="71">
        <f t="shared" si="57"/>
        <v>0.61757763411078714</v>
      </c>
      <c r="AH80" s="71">
        <f t="shared" si="58"/>
        <v>5.0130955538409623</v>
      </c>
      <c r="AI80" s="74">
        <f t="shared" si="69"/>
        <v>5.6306731879517491</v>
      </c>
      <c r="AJ80" s="73">
        <f t="shared" si="70"/>
        <v>7.3</v>
      </c>
      <c r="AK80" s="71">
        <f t="shared" si="59"/>
        <v>9.6732811808953816</v>
      </c>
      <c r="AL80" s="71">
        <f t="shared" si="60"/>
        <v>0.82343684548104978</v>
      </c>
      <c r="AM80" s="71">
        <f t="shared" si="71"/>
        <v>1.4388000000000003</v>
      </c>
      <c r="AN80" s="188">
        <f t="shared" si="61"/>
        <v>0.4499428571428572</v>
      </c>
      <c r="AO80" s="74">
        <f t="shared" si="72"/>
        <v>2.7121797026239074</v>
      </c>
      <c r="AP80" s="73">
        <f t="shared" si="62"/>
        <v>0.2456274681122449</v>
      </c>
      <c r="AQ80" s="206">
        <f t="shared" si="63"/>
        <v>0.22597727066326528</v>
      </c>
      <c r="AR80" s="206">
        <f t="shared" si="64"/>
        <v>0.88447929873185172</v>
      </c>
      <c r="AS80" s="71">
        <f t="shared" si="65"/>
        <v>0.19999999999999998</v>
      </c>
      <c r="AT80" s="74">
        <f t="shared" si="66"/>
        <v>3.96E-5</v>
      </c>
      <c r="AU80" s="73">
        <f t="shared" si="73"/>
        <v>10.124953798746281</v>
      </c>
      <c r="AV80" s="71">
        <f t="shared" si="74"/>
        <v>153.30000000000001</v>
      </c>
      <c r="AW80" s="74">
        <f t="shared" si="75"/>
        <v>93.804523995022876</v>
      </c>
    </row>
    <row r="81" spans="17:49" x14ac:dyDescent="0.25">
      <c r="Q81">
        <v>74</v>
      </c>
      <c r="R81" s="73">
        <f t="shared" si="49"/>
        <v>21</v>
      </c>
      <c r="S81" s="71">
        <f t="shared" si="50"/>
        <v>7.4</v>
      </c>
      <c r="T81" s="71">
        <f t="shared" si="51"/>
        <v>12</v>
      </c>
      <c r="U81" s="74">
        <f t="shared" si="52"/>
        <v>12.950000000000001</v>
      </c>
      <c r="V81" s="73">
        <f>IF(Variable_Management!$B$20=3,2,IF((S81*R81/T81)&lt;((T81*(1-(T81/R81)))/(2*Lm*Fsw)),1,2))</f>
        <v>2</v>
      </c>
      <c r="W81" s="71">
        <f t="shared" si="53"/>
        <v>0.4285714285714286</v>
      </c>
      <c r="X81" s="74">
        <f t="shared" si="54"/>
        <v>0.5714285714285714</v>
      </c>
      <c r="Y81" s="73">
        <f t="shared" si="55"/>
        <v>2.5714285714285716</v>
      </c>
      <c r="Z81" s="71">
        <f t="shared" si="77"/>
        <v>14.235714285714288</v>
      </c>
      <c r="AA81" s="71">
        <f t="shared" si="78"/>
        <v>12.971257472125178</v>
      </c>
      <c r="AB81" s="71">
        <v>0</v>
      </c>
      <c r="AC81" s="71">
        <f t="shared" si="56"/>
        <v>0.23218985816326526</v>
      </c>
      <c r="AD81" s="74">
        <f t="shared" si="67"/>
        <v>0.23218985816326526</v>
      </c>
      <c r="AE81" s="73">
        <f t="shared" si="76"/>
        <v>5.5500000000000007</v>
      </c>
      <c r="AF81" s="71">
        <f t="shared" si="68"/>
        <v>8.4916813178250266</v>
      </c>
      <c r="AG81" s="71">
        <f t="shared" si="57"/>
        <v>0.6345561341107876</v>
      </c>
      <c r="AH81" s="71">
        <f t="shared" si="58"/>
        <v>5.0817680956744002</v>
      </c>
      <c r="AI81" s="74">
        <f t="shared" si="69"/>
        <v>5.7163242297851875</v>
      </c>
      <c r="AJ81" s="73">
        <f t="shared" si="70"/>
        <v>7.4</v>
      </c>
      <c r="AK81" s="71">
        <f t="shared" si="59"/>
        <v>9.80534898943759</v>
      </c>
      <c r="AL81" s="71">
        <f t="shared" si="60"/>
        <v>0.84607484548105005</v>
      </c>
      <c r="AM81" s="71">
        <f t="shared" si="71"/>
        <v>1.4388000000000003</v>
      </c>
      <c r="AN81" s="188">
        <f t="shared" si="61"/>
        <v>0.45554285714285719</v>
      </c>
      <c r="AO81" s="74">
        <f t="shared" si="72"/>
        <v>2.7404177026239074</v>
      </c>
      <c r="AP81" s="73">
        <f t="shared" si="62"/>
        <v>0.25238028061224488</v>
      </c>
      <c r="AQ81" s="206">
        <f t="shared" si="63"/>
        <v>0.23218985816326526</v>
      </c>
      <c r="AR81" s="206">
        <f t="shared" si="64"/>
        <v>0.88447929873185172</v>
      </c>
      <c r="AS81" s="71">
        <f t="shared" si="65"/>
        <v>0.19999999999999998</v>
      </c>
      <c r="AT81" s="74">
        <f t="shared" si="66"/>
        <v>3.96E-5</v>
      </c>
      <c r="AU81" s="73">
        <f t="shared" si="73"/>
        <v>10.25802082807972</v>
      </c>
      <c r="AV81" s="71">
        <f t="shared" si="74"/>
        <v>155.4</v>
      </c>
      <c r="AW81" s="74">
        <f t="shared" si="75"/>
        <v>93.807712553365889</v>
      </c>
    </row>
    <row r="82" spans="17:49" x14ac:dyDescent="0.25">
      <c r="Q82">
        <v>75</v>
      </c>
      <c r="R82" s="73">
        <f t="shared" si="49"/>
        <v>21</v>
      </c>
      <c r="S82" s="71">
        <f t="shared" si="50"/>
        <v>7.5</v>
      </c>
      <c r="T82" s="71">
        <f t="shared" si="51"/>
        <v>12</v>
      </c>
      <c r="U82" s="74">
        <f t="shared" si="52"/>
        <v>13.125</v>
      </c>
      <c r="V82" s="73">
        <f>IF(Variable_Management!$B$20=3,2,IF((S82*R82/T82)&lt;((T82*(1-(T82/R82)))/(2*Lm*Fsw)),1,2))</f>
        <v>2</v>
      </c>
      <c r="W82" s="71">
        <f t="shared" si="53"/>
        <v>0.4285714285714286</v>
      </c>
      <c r="X82" s="74">
        <f t="shared" si="54"/>
        <v>0.5714285714285714</v>
      </c>
      <c r="Y82" s="73">
        <f t="shared" si="55"/>
        <v>2.5714285714285716</v>
      </c>
      <c r="Z82" s="71">
        <f t="shared" si="77"/>
        <v>14.410714285714286</v>
      </c>
      <c r="AA82" s="71">
        <f t="shared" si="78"/>
        <v>13.145974494428447</v>
      </c>
      <c r="AB82" s="71">
        <v>0</v>
      </c>
      <c r="AC82" s="71">
        <f t="shared" si="56"/>
        <v>0.23848697066326532</v>
      </c>
      <c r="AD82" s="74">
        <f t="shared" si="67"/>
        <v>0.23848697066326532</v>
      </c>
      <c r="AE82" s="73">
        <f t="shared" si="76"/>
        <v>5.625</v>
      </c>
      <c r="AF82" s="71">
        <f t="shared" si="68"/>
        <v>8.6060604578110294</v>
      </c>
      <c r="AG82" s="71">
        <f t="shared" si="57"/>
        <v>0.65176563411078758</v>
      </c>
      <c r="AH82" s="71">
        <f t="shared" si="58"/>
        <v>5.1504406375078373</v>
      </c>
      <c r="AI82" s="74">
        <f t="shared" si="69"/>
        <v>5.8022062716186245</v>
      </c>
      <c r="AJ82" s="73">
        <f t="shared" si="70"/>
        <v>7.5</v>
      </c>
      <c r="AK82" s="71">
        <f t="shared" si="59"/>
        <v>9.9374226439587812</v>
      </c>
      <c r="AL82" s="71">
        <f t="shared" si="60"/>
        <v>0.86902084548104963</v>
      </c>
      <c r="AM82" s="71">
        <f t="shared" si="71"/>
        <v>1.4388000000000003</v>
      </c>
      <c r="AN82" s="188">
        <f t="shared" si="61"/>
        <v>0.46114285714285719</v>
      </c>
      <c r="AO82" s="74">
        <f t="shared" si="72"/>
        <v>2.7689637026239073</v>
      </c>
      <c r="AP82" s="73">
        <f t="shared" si="62"/>
        <v>0.25922496811224494</v>
      </c>
      <c r="AQ82" s="206">
        <f t="shared" si="63"/>
        <v>0.23848697066326532</v>
      </c>
      <c r="AR82" s="206">
        <f t="shared" si="64"/>
        <v>0.88447929873185172</v>
      </c>
      <c r="AS82" s="71">
        <f t="shared" si="65"/>
        <v>0.19999999999999998</v>
      </c>
      <c r="AT82" s="74">
        <f t="shared" si="66"/>
        <v>3.96E-5</v>
      </c>
      <c r="AU82" s="73">
        <f t="shared" si="73"/>
        <v>10.391887782413157</v>
      </c>
      <c r="AV82" s="71">
        <f t="shared" si="74"/>
        <v>157.5</v>
      </c>
      <c r="AW82" s="74">
        <f t="shared" si="75"/>
        <v>93.810369327742038</v>
      </c>
    </row>
    <row r="83" spans="17:49" x14ac:dyDescent="0.25">
      <c r="Q83">
        <v>76</v>
      </c>
      <c r="R83" s="73">
        <f t="shared" si="49"/>
        <v>21</v>
      </c>
      <c r="S83" s="71">
        <f t="shared" si="50"/>
        <v>7.6000000000000005</v>
      </c>
      <c r="T83" s="71">
        <f t="shared" si="51"/>
        <v>12</v>
      </c>
      <c r="U83" s="74">
        <f t="shared" si="52"/>
        <v>13.300000000000002</v>
      </c>
      <c r="V83" s="73">
        <f>IF(Variable_Management!$B$20=3,2,IF((S83*R83/T83)&lt;((T83*(1-(T83/R83)))/(2*Lm*Fsw)),1,2))</f>
        <v>2</v>
      </c>
      <c r="W83" s="71">
        <f t="shared" si="53"/>
        <v>0.4285714285714286</v>
      </c>
      <c r="X83" s="74">
        <f t="shared" si="54"/>
        <v>0.5714285714285714</v>
      </c>
      <c r="Y83" s="73">
        <f t="shared" si="55"/>
        <v>2.5714285714285716</v>
      </c>
      <c r="Z83" s="71">
        <f t="shared" si="77"/>
        <v>14.585714285714289</v>
      </c>
      <c r="AA83" s="71">
        <f t="shared" si="78"/>
        <v>13.320698945932355</v>
      </c>
      <c r="AB83" s="71">
        <v>0</v>
      </c>
      <c r="AC83" s="71">
        <f t="shared" si="56"/>
        <v>0.24486860816326542</v>
      </c>
      <c r="AD83" s="74">
        <f t="shared" si="67"/>
        <v>0.24486860816326542</v>
      </c>
      <c r="AE83" s="73">
        <f t="shared" si="76"/>
        <v>5.7000000000000011</v>
      </c>
      <c r="AF83" s="71">
        <f t="shared" si="68"/>
        <v>8.7204444613504979</v>
      </c>
      <c r="AG83" s="71">
        <f t="shared" si="57"/>
        <v>0.66920613411078744</v>
      </c>
      <c r="AH83" s="71">
        <f t="shared" si="58"/>
        <v>5.2191131793412762</v>
      </c>
      <c r="AI83" s="74">
        <f t="shared" si="69"/>
        <v>5.8883193134520635</v>
      </c>
      <c r="AJ83" s="73">
        <f t="shared" si="70"/>
        <v>7.6000000000000014</v>
      </c>
      <c r="AK83" s="71">
        <f t="shared" si="59"/>
        <v>10.069501914427782</v>
      </c>
      <c r="AL83" s="71">
        <f t="shared" si="60"/>
        <v>0.89227484548104996</v>
      </c>
      <c r="AM83" s="71">
        <f t="shared" si="71"/>
        <v>1.4388000000000003</v>
      </c>
      <c r="AN83" s="188">
        <f t="shared" si="61"/>
        <v>0.46674285714285724</v>
      </c>
      <c r="AO83" s="74">
        <f t="shared" si="72"/>
        <v>2.7978177026239073</v>
      </c>
      <c r="AP83" s="73">
        <f t="shared" si="62"/>
        <v>0.26616153061224501</v>
      </c>
      <c r="AQ83" s="206">
        <f t="shared" si="63"/>
        <v>0.24486860816326542</v>
      </c>
      <c r="AR83" s="206">
        <f t="shared" si="64"/>
        <v>0.88447929873185172</v>
      </c>
      <c r="AS83" s="71">
        <f t="shared" si="65"/>
        <v>0.19999999999999998</v>
      </c>
      <c r="AT83" s="74">
        <f t="shared" si="66"/>
        <v>3.96E-5</v>
      </c>
      <c r="AU83" s="73">
        <f t="shared" si="73"/>
        <v>10.526554661746598</v>
      </c>
      <c r="AV83" s="71">
        <f t="shared" si="74"/>
        <v>159.60000000000002</v>
      </c>
      <c r="AW83" s="74">
        <f t="shared" si="75"/>
        <v>93.812515228633202</v>
      </c>
    </row>
    <row r="84" spans="17:49" x14ac:dyDescent="0.25">
      <c r="Q84">
        <v>77</v>
      </c>
      <c r="R84" s="73">
        <f t="shared" si="49"/>
        <v>21</v>
      </c>
      <c r="S84" s="71">
        <f t="shared" si="50"/>
        <v>7.7</v>
      </c>
      <c r="T84" s="71">
        <f t="shared" si="51"/>
        <v>12</v>
      </c>
      <c r="U84" s="74">
        <f t="shared" si="52"/>
        <v>13.475000000000001</v>
      </c>
      <c r="V84" s="73">
        <f>IF(Variable_Management!$B$20=3,2,IF((S84*R84/T84)&lt;((T84*(1-(T84/R84)))/(2*Lm*Fsw)),1,2))</f>
        <v>2</v>
      </c>
      <c r="W84" s="71">
        <f t="shared" si="53"/>
        <v>0.4285714285714286</v>
      </c>
      <c r="X84" s="74">
        <f t="shared" si="54"/>
        <v>0.5714285714285714</v>
      </c>
      <c r="Y84" s="73">
        <f t="shared" si="55"/>
        <v>2.5714285714285716</v>
      </c>
      <c r="Z84" s="71">
        <f t="shared" si="77"/>
        <v>14.760714285714288</v>
      </c>
      <c r="AA84" s="71">
        <f t="shared" si="78"/>
        <v>13.495430538080779</v>
      </c>
      <c r="AB84" s="71">
        <v>0</v>
      </c>
      <c r="AC84" s="71">
        <f t="shared" si="56"/>
        <v>0.25133477066326526</v>
      </c>
      <c r="AD84" s="74">
        <f t="shared" si="67"/>
        <v>0.25133477066326526</v>
      </c>
      <c r="AE84" s="73">
        <f t="shared" si="76"/>
        <v>5.7750000000000012</v>
      </c>
      <c r="AF84" s="71">
        <f t="shared" si="68"/>
        <v>8.8348331395391142</v>
      </c>
      <c r="AG84" s="71">
        <f t="shared" si="57"/>
        <v>0.68687763411078739</v>
      </c>
      <c r="AH84" s="71">
        <f t="shared" si="58"/>
        <v>5.2877857211747124</v>
      </c>
      <c r="AI84" s="74">
        <f t="shared" si="69"/>
        <v>5.9746633552855002</v>
      </c>
      <c r="AJ84" s="73">
        <f t="shared" si="70"/>
        <v>7.7</v>
      </c>
      <c r="AK84" s="71">
        <f t="shared" si="59"/>
        <v>10.201586582716669</v>
      </c>
      <c r="AL84" s="71">
        <f t="shared" si="60"/>
        <v>0.91583684548104982</v>
      </c>
      <c r="AM84" s="71">
        <f t="shared" si="71"/>
        <v>1.4388000000000003</v>
      </c>
      <c r="AN84" s="188">
        <f t="shared" si="61"/>
        <v>0.47234285714285723</v>
      </c>
      <c r="AO84" s="74">
        <f t="shared" si="72"/>
        <v>2.8269797026239076</v>
      </c>
      <c r="AP84" s="73">
        <f t="shared" si="62"/>
        <v>0.27318996811224489</v>
      </c>
      <c r="AQ84" s="206">
        <f t="shared" si="63"/>
        <v>0.25133477066326526</v>
      </c>
      <c r="AR84" s="206">
        <f t="shared" si="64"/>
        <v>0.88447929873185172</v>
      </c>
      <c r="AS84" s="71">
        <f t="shared" si="65"/>
        <v>0.19999999999999998</v>
      </c>
      <c r="AT84" s="74">
        <f t="shared" si="66"/>
        <v>3.96E-5</v>
      </c>
      <c r="AU84" s="73">
        <f t="shared" si="73"/>
        <v>10.662021466080033</v>
      </c>
      <c r="AV84" s="71">
        <f t="shared" si="74"/>
        <v>161.70000000000002</v>
      </c>
      <c r="AW84" s="74">
        <f t="shared" si="75"/>
        <v>93.814170096526595</v>
      </c>
    </row>
    <row r="85" spans="17:49" x14ac:dyDescent="0.25">
      <c r="Q85">
        <v>78</v>
      </c>
      <c r="R85" s="73">
        <f t="shared" si="49"/>
        <v>21</v>
      </c>
      <c r="S85" s="71">
        <f t="shared" si="50"/>
        <v>7.8000000000000007</v>
      </c>
      <c r="T85" s="71">
        <f t="shared" si="51"/>
        <v>12</v>
      </c>
      <c r="U85" s="74">
        <f t="shared" si="52"/>
        <v>13.65</v>
      </c>
      <c r="V85" s="73">
        <f>IF(Variable_Management!$B$20=3,2,IF((S85*R85/T85)&lt;((T85*(1-(T85/R85)))/(2*Lm*Fsw)),1,2))</f>
        <v>2</v>
      </c>
      <c r="W85" s="71">
        <f t="shared" si="53"/>
        <v>0.4285714285714286</v>
      </c>
      <c r="X85" s="74">
        <f t="shared" si="54"/>
        <v>0.5714285714285714</v>
      </c>
      <c r="Y85" s="73">
        <f t="shared" si="55"/>
        <v>2.5714285714285716</v>
      </c>
      <c r="Z85" s="71">
        <f t="shared" si="77"/>
        <v>14.935714285714287</v>
      </c>
      <c r="AA85" s="71">
        <f t="shared" si="78"/>
        <v>13.670168997059374</v>
      </c>
      <c r="AB85" s="71">
        <v>0</v>
      </c>
      <c r="AC85" s="71">
        <f t="shared" si="56"/>
        <v>0.25788545816326536</v>
      </c>
      <c r="AD85" s="74">
        <f t="shared" si="67"/>
        <v>0.25788545816326536</v>
      </c>
      <c r="AE85" s="73">
        <f t="shared" si="76"/>
        <v>5.8500000000000005</v>
      </c>
      <c r="AF85" s="71">
        <f t="shared" si="68"/>
        <v>8.9492263131233063</v>
      </c>
      <c r="AG85" s="71">
        <f t="shared" si="57"/>
        <v>0.70478013411078744</v>
      </c>
      <c r="AH85" s="71">
        <f t="shared" si="58"/>
        <v>5.3564582630081512</v>
      </c>
      <c r="AI85" s="74">
        <f t="shared" si="69"/>
        <v>6.061238397118939</v>
      </c>
      <c r="AJ85" s="73">
        <f t="shared" si="70"/>
        <v>7.8</v>
      </c>
      <c r="AK85" s="71">
        <f t="shared" si="59"/>
        <v>10.333676441841245</v>
      </c>
      <c r="AL85" s="71">
        <f t="shared" si="60"/>
        <v>0.93970684548104977</v>
      </c>
      <c r="AM85" s="71">
        <f t="shared" si="71"/>
        <v>1.4388000000000003</v>
      </c>
      <c r="AN85" s="188">
        <f t="shared" si="61"/>
        <v>0.47794285714285717</v>
      </c>
      <c r="AO85" s="74">
        <f t="shared" si="72"/>
        <v>2.8564497026239075</v>
      </c>
      <c r="AP85" s="73">
        <f t="shared" si="62"/>
        <v>0.28031028061224494</v>
      </c>
      <c r="AQ85" s="206">
        <f t="shared" si="63"/>
        <v>0.25788545816326536</v>
      </c>
      <c r="AR85" s="206">
        <f t="shared" si="64"/>
        <v>0.88447929873185172</v>
      </c>
      <c r="AS85" s="71">
        <f t="shared" si="65"/>
        <v>0.19999999999999998</v>
      </c>
      <c r="AT85" s="74">
        <f t="shared" si="66"/>
        <v>3.96E-5</v>
      </c>
      <c r="AU85" s="73">
        <f t="shared" si="73"/>
        <v>10.798288195413473</v>
      </c>
      <c r="AV85" s="71">
        <f t="shared" si="74"/>
        <v>163.80000000000001</v>
      </c>
      <c r="AW85" s="74">
        <f t="shared" si="75"/>
        <v>93.815352769479716</v>
      </c>
    </row>
    <row r="86" spans="17:49" x14ac:dyDescent="0.25">
      <c r="Q86">
        <v>79</v>
      </c>
      <c r="R86" s="73">
        <f t="shared" si="49"/>
        <v>21</v>
      </c>
      <c r="S86" s="71">
        <f t="shared" si="50"/>
        <v>7.9</v>
      </c>
      <c r="T86" s="71">
        <f t="shared" si="51"/>
        <v>12</v>
      </c>
      <c r="U86" s="74">
        <f t="shared" si="52"/>
        <v>13.825000000000001</v>
      </c>
      <c r="V86" s="73">
        <f>IF(Variable_Management!$B$20=3,2,IF((S86*R86/T86)&lt;((T86*(1-(T86/R86)))/(2*Lm*Fsw)),1,2))</f>
        <v>2</v>
      </c>
      <c r="W86" s="71">
        <f t="shared" si="53"/>
        <v>0.4285714285714286</v>
      </c>
      <c r="X86" s="74">
        <f t="shared" si="54"/>
        <v>0.5714285714285714</v>
      </c>
      <c r="Y86" s="73">
        <f t="shared" si="55"/>
        <v>2.5714285714285716</v>
      </c>
      <c r="Z86" s="71">
        <f t="shared" si="77"/>
        <v>15.110714285714288</v>
      </c>
      <c r="AA86" s="71">
        <f t="shared" si="78"/>
        <v>13.844914062866671</v>
      </c>
      <c r="AB86" s="71">
        <v>0</v>
      </c>
      <c r="AC86" s="71">
        <f t="shared" si="56"/>
        <v>0.26452067066326534</v>
      </c>
      <c r="AD86" s="74">
        <f t="shared" si="67"/>
        <v>0.26452067066326534</v>
      </c>
      <c r="AE86" s="73">
        <f t="shared" si="76"/>
        <v>5.9250000000000007</v>
      </c>
      <c r="AF86" s="71">
        <f t="shared" si="68"/>
        <v>9.0636238118921604</v>
      </c>
      <c r="AG86" s="71">
        <f t="shared" si="57"/>
        <v>0.72291363411078757</v>
      </c>
      <c r="AH86" s="71">
        <f t="shared" si="58"/>
        <v>5.4251308048415892</v>
      </c>
      <c r="AI86" s="74">
        <f t="shared" si="69"/>
        <v>6.1480444389523772</v>
      </c>
      <c r="AJ86" s="73">
        <f t="shared" si="70"/>
        <v>7.9</v>
      </c>
      <c r="AK86" s="71">
        <f t="shared" si="59"/>
        <v>10.465771295258881</v>
      </c>
      <c r="AL86" s="71">
        <f t="shared" si="60"/>
        <v>0.9638848454810498</v>
      </c>
      <c r="AM86" s="71">
        <f t="shared" si="71"/>
        <v>1.4388000000000003</v>
      </c>
      <c r="AN86" s="188">
        <f t="shared" si="61"/>
        <v>0.48354285714285722</v>
      </c>
      <c r="AO86" s="74">
        <f t="shared" si="72"/>
        <v>2.8862277026239074</v>
      </c>
      <c r="AP86" s="73">
        <f t="shared" si="62"/>
        <v>0.28752246811224497</v>
      </c>
      <c r="AQ86" s="206">
        <f t="shared" si="63"/>
        <v>0.26452067066326534</v>
      </c>
      <c r="AR86" s="206">
        <f t="shared" si="64"/>
        <v>0.88447929873185172</v>
      </c>
      <c r="AS86" s="71">
        <f t="shared" si="65"/>
        <v>0.19999999999999998</v>
      </c>
      <c r="AT86" s="74">
        <f t="shared" si="66"/>
        <v>3.96E-5</v>
      </c>
      <c r="AU86" s="73">
        <f t="shared" si="73"/>
        <v>10.93535484974691</v>
      </c>
      <c r="AV86" s="71">
        <f t="shared" si="74"/>
        <v>165.9</v>
      </c>
      <c r="AW86" s="74">
        <f t="shared" si="75"/>
        <v>93.816081145629255</v>
      </c>
    </row>
    <row r="87" spans="17:49" x14ac:dyDescent="0.25">
      <c r="Q87">
        <v>80</v>
      </c>
      <c r="R87" s="73">
        <f t="shared" si="49"/>
        <v>21</v>
      </c>
      <c r="S87" s="71">
        <f t="shared" si="50"/>
        <v>8</v>
      </c>
      <c r="T87" s="71">
        <f t="shared" si="51"/>
        <v>12</v>
      </c>
      <c r="U87" s="74">
        <f t="shared" si="52"/>
        <v>14</v>
      </c>
      <c r="V87" s="73">
        <f>IF(Variable_Management!$B$20=3,2,IF((S87*R87/T87)&lt;((T87*(1-(T87/R87)))/(2*Lm*Fsw)),1,2))</f>
        <v>2</v>
      </c>
      <c r="W87" s="71">
        <f t="shared" si="53"/>
        <v>0.4285714285714286</v>
      </c>
      <c r="X87" s="74">
        <f t="shared" si="54"/>
        <v>0.5714285714285714</v>
      </c>
      <c r="Y87" s="73">
        <f t="shared" si="55"/>
        <v>2.5714285714285716</v>
      </c>
      <c r="Z87" s="71">
        <f t="shared" si="77"/>
        <v>15.285714285714286</v>
      </c>
      <c r="AA87" s="71">
        <f t="shared" si="78"/>
        <v>14.019665488454539</v>
      </c>
      <c r="AB87" s="71">
        <v>0</v>
      </c>
      <c r="AC87" s="71">
        <f t="shared" si="56"/>
        <v>0.27124040816326528</v>
      </c>
      <c r="AD87" s="74">
        <f t="shared" si="67"/>
        <v>0.27124040816326528</v>
      </c>
      <c r="AE87" s="73">
        <f t="shared" si="76"/>
        <v>6</v>
      </c>
      <c r="AF87" s="71">
        <f t="shared" si="68"/>
        <v>9.1780254741147118</v>
      </c>
      <c r="AG87" s="71">
        <f t="shared" si="57"/>
        <v>0.74127813411078758</v>
      </c>
      <c r="AH87" s="71">
        <f t="shared" si="58"/>
        <v>5.4938033466750262</v>
      </c>
      <c r="AI87" s="74">
        <f t="shared" si="69"/>
        <v>6.2350814807858139</v>
      </c>
      <c r="AJ87" s="73">
        <f t="shared" si="70"/>
        <v>8</v>
      </c>
      <c r="AK87" s="71">
        <f t="shared" si="59"/>
        <v>10.597870956218742</v>
      </c>
      <c r="AL87" s="71">
        <f t="shared" si="60"/>
        <v>0.98837084548104992</v>
      </c>
      <c r="AM87" s="71">
        <f t="shared" si="71"/>
        <v>1.4388000000000003</v>
      </c>
      <c r="AN87" s="188">
        <f t="shared" si="61"/>
        <v>0.48914285714285716</v>
      </c>
      <c r="AO87" s="74">
        <f t="shared" si="72"/>
        <v>2.9163137026239077</v>
      </c>
      <c r="AP87" s="73">
        <f t="shared" si="62"/>
        <v>0.2948265306122449</v>
      </c>
      <c r="AQ87" s="206">
        <f t="shared" si="63"/>
        <v>0.27124040816326528</v>
      </c>
      <c r="AR87" s="206">
        <f t="shared" si="64"/>
        <v>0.88447929873185172</v>
      </c>
      <c r="AS87" s="71">
        <f t="shared" si="65"/>
        <v>0.19999999999999998</v>
      </c>
      <c r="AT87" s="74">
        <f t="shared" si="66"/>
        <v>3.96E-5</v>
      </c>
      <c r="AU87" s="73">
        <f t="shared" si="73"/>
        <v>11.073221429080348</v>
      </c>
      <c r="AV87" s="71">
        <f t="shared" si="74"/>
        <v>168</v>
      </c>
      <c r="AW87" s="74">
        <f t="shared" si="75"/>
        <v>93.816372241080302</v>
      </c>
    </row>
    <row r="88" spans="17:49" x14ac:dyDescent="0.25">
      <c r="Q88">
        <v>81</v>
      </c>
      <c r="R88" s="73">
        <f t="shared" si="49"/>
        <v>21</v>
      </c>
      <c r="S88" s="71">
        <f t="shared" si="50"/>
        <v>8.1</v>
      </c>
      <c r="T88" s="71">
        <f t="shared" si="51"/>
        <v>12</v>
      </c>
      <c r="U88" s="74">
        <f t="shared" si="52"/>
        <v>14.174999999999999</v>
      </c>
      <c r="V88" s="73">
        <f>IF(Variable_Management!$B$20=3,2,IF((S88*R88/T88)&lt;((T88*(1-(T88/R88)))/(2*Lm*Fsw)),1,2))</f>
        <v>2</v>
      </c>
      <c r="W88" s="71">
        <f t="shared" si="53"/>
        <v>0.4285714285714286</v>
      </c>
      <c r="X88" s="74">
        <f t="shared" si="54"/>
        <v>0.5714285714285714</v>
      </c>
      <c r="Y88" s="73">
        <f t="shared" si="55"/>
        <v>2.5714285714285716</v>
      </c>
      <c r="Z88" s="71">
        <f t="shared" si="77"/>
        <v>15.460714285714285</v>
      </c>
      <c r="AA88" s="71">
        <f t="shared" si="78"/>
        <v>14.194423038931989</v>
      </c>
      <c r="AB88" s="71">
        <v>0</v>
      </c>
      <c r="AC88" s="71">
        <f t="shared" si="56"/>
        <v>0.27804467066326527</v>
      </c>
      <c r="AD88" s="74">
        <f t="shared" si="67"/>
        <v>0.27804467066326527</v>
      </c>
      <c r="AE88" s="73">
        <f t="shared" si="76"/>
        <v>6.0750000000000002</v>
      </c>
      <c r="AF88" s="71">
        <f t="shared" si="68"/>
        <v>9.292431146018707</v>
      </c>
      <c r="AG88" s="71">
        <f t="shared" si="57"/>
        <v>0.75987363411078723</v>
      </c>
      <c r="AH88" s="71">
        <f t="shared" si="58"/>
        <v>5.5624758885084624</v>
      </c>
      <c r="AI88" s="74">
        <f t="shared" si="69"/>
        <v>6.3223495226192501</v>
      </c>
      <c r="AJ88" s="73">
        <f t="shared" si="70"/>
        <v>8.1</v>
      </c>
      <c r="AK88" s="71">
        <f t="shared" si="59"/>
        <v>10.729975247159926</v>
      </c>
      <c r="AL88" s="71">
        <f t="shared" si="60"/>
        <v>1.0131648454810496</v>
      </c>
      <c r="AM88" s="71">
        <f t="shared" si="71"/>
        <v>1.4388000000000003</v>
      </c>
      <c r="AN88" s="188">
        <f t="shared" si="61"/>
        <v>0.49474285714285715</v>
      </c>
      <c r="AO88" s="74">
        <f t="shared" si="72"/>
        <v>2.946707702623907</v>
      </c>
      <c r="AP88" s="73">
        <f t="shared" si="62"/>
        <v>0.3022224681122449</v>
      </c>
      <c r="AQ88" s="206">
        <f t="shared" si="63"/>
        <v>0.27804467066326527</v>
      </c>
      <c r="AR88" s="206">
        <f t="shared" si="64"/>
        <v>0.88447929873185172</v>
      </c>
      <c r="AS88" s="71">
        <f t="shared" si="65"/>
        <v>0.19999999999999998</v>
      </c>
      <c r="AT88" s="74">
        <f t="shared" si="66"/>
        <v>3.96E-5</v>
      </c>
      <c r="AU88" s="73">
        <f t="shared" si="73"/>
        <v>11.211887933413783</v>
      </c>
      <c r="AV88" s="71">
        <f t="shared" si="74"/>
        <v>170.1</v>
      </c>
      <c r="AW88" s="74">
        <f t="shared" si="75"/>
        <v>93.816242243569107</v>
      </c>
    </row>
    <row r="89" spans="17:49" x14ac:dyDescent="0.25">
      <c r="Q89">
        <v>82</v>
      </c>
      <c r="R89" s="73">
        <f t="shared" si="49"/>
        <v>21</v>
      </c>
      <c r="S89" s="71">
        <f t="shared" si="50"/>
        <v>8.2000000000000011</v>
      </c>
      <c r="T89" s="71">
        <f t="shared" si="51"/>
        <v>12</v>
      </c>
      <c r="U89" s="74">
        <f t="shared" si="52"/>
        <v>14.350000000000001</v>
      </c>
      <c r="V89" s="73">
        <f>IF(Variable_Management!$B$20=3,2,IF((S89*R89/T89)&lt;((T89*(1-(T89/R89)))/(2*Lm*Fsw)),1,2))</f>
        <v>2</v>
      </c>
      <c r="W89" s="71">
        <f t="shared" si="53"/>
        <v>0.4285714285714286</v>
      </c>
      <c r="X89" s="74">
        <f t="shared" si="54"/>
        <v>0.5714285714285714</v>
      </c>
      <c r="Y89" s="73">
        <f t="shared" si="55"/>
        <v>2.5714285714285716</v>
      </c>
      <c r="Z89" s="71">
        <f t="shared" si="77"/>
        <v>15.635714285714288</v>
      </c>
      <c r="AA89" s="71">
        <f t="shared" si="78"/>
        <v>14.369186490826936</v>
      </c>
      <c r="AB89" s="71">
        <v>0</v>
      </c>
      <c r="AC89" s="71">
        <f t="shared" si="56"/>
        <v>0.28493345816326532</v>
      </c>
      <c r="AD89" s="74">
        <f t="shared" si="67"/>
        <v>0.28493345816326532</v>
      </c>
      <c r="AE89" s="73">
        <f t="shared" si="76"/>
        <v>6.1500000000000012</v>
      </c>
      <c r="AF89" s="71">
        <f t="shared" si="68"/>
        <v>9.4068406813073313</v>
      </c>
      <c r="AG89" s="71">
        <f t="shared" si="57"/>
        <v>0.77870013411078753</v>
      </c>
      <c r="AH89" s="71">
        <f t="shared" si="58"/>
        <v>5.6311484303419022</v>
      </c>
      <c r="AI89" s="74">
        <f t="shared" si="69"/>
        <v>6.4098485644526892</v>
      </c>
      <c r="AJ89" s="73">
        <f t="shared" si="70"/>
        <v>8.2000000000000011</v>
      </c>
      <c r="AK89" s="71">
        <f t="shared" si="59"/>
        <v>10.86208399915342</v>
      </c>
      <c r="AL89" s="71">
        <f t="shared" si="60"/>
        <v>1.0382668454810497</v>
      </c>
      <c r="AM89" s="71">
        <f t="shared" si="71"/>
        <v>1.4388000000000003</v>
      </c>
      <c r="AN89" s="188">
        <f t="shared" si="61"/>
        <v>0.5003428571428572</v>
      </c>
      <c r="AO89" s="74">
        <f t="shared" si="72"/>
        <v>2.9774097026239073</v>
      </c>
      <c r="AP89" s="73">
        <f t="shared" si="62"/>
        <v>0.30971028061224493</v>
      </c>
      <c r="AQ89" s="206">
        <f t="shared" si="63"/>
        <v>0.28493345816326532</v>
      </c>
      <c r="AR89" s="206">
        <f t="shared" si="64"/>
        <v>0.88447929873185172</v>
      </c>
      <c r="AS89" s="71">
        <f t="shared" si="65"/>
        <v>0.19999999999999998</v>
      </c>
      <c r="AT89" s="74">
        <f t="shared" si="66"/>
        <v>3.96E-5</v>
      </c>
      <c r="AU89" s="73">
        <f t="shared" si="73"/>
        <v>11.351354362747225</v>
      </c>
      <c r="AV89" s="71">
        <f t="shared" si="74"/>
        <v>172.20000000000002</v>
      </c>
      <c r="AW89" s="74">
        <f t="shared" si="75"/>
        <v>93.815706562255116</v>
      </c>
    </row>
    <row r="90" spans="17:49" x14ac:dyDescent="0.25">
      <c r="Q90">
        <v>83</v>
      </c>
      <c r="R90" s="73">
        <f t="shared" si="49"/>
        <v>21</v>
      </c>
      <c r="S90" s="71">
        <f t="shared" si="50"/>
        <v>8.3000000000000007</v>
      </c>
      <c r="T90" s="71">
        <f t="shared" si="51"/>
        <v>12</v>
      </c>
      <c r="U90" s="74">
        <f t="shared" si="52"/>
        <v>14.525</v>
      </c>
      <c r="V90" s="73">
        <f>IF(Variable_Management!$B$20=3,2,IF((S90*R90/T90)&lt;((T90*(1-(T90/R90)))/(2*Lm*Fsw)),1,2))</f>
        <v>2</v>
      </c>
      <c r="W90" s="71">
        <f t="shared" si="53"/>
        <v>0.4285714285714286</v>
      </c>
      <c r="X90" s="74">
        <f t="shared" si="54"/>
        <v>0.5714285714285714</v>
      </c>
      <c r="Y90" s="73">
        <f t="shared" si="55"/>
        <v>2.5714285714285716</v>
      </c>
      <c r="Z90" s="71">
        <f t="shared" si="77"/>
        <v>15.810714285714287</v>
      </c>
      <c r="AA90" s="71">
        <f t="shared" si="78"/>
        <v>14.543955631401083</v>
      </c>
      <c r="AB90" s="71">
        <v>0</v>
      </c>
      <c r="AC90" s="71">
        <f t="shared" si="56"/>
        <v>0.29190677066326531</v>
      </c>
      <c r="AD90" s="74">
        <f t="shared" si="67"/>
        <v>0.29190677066326531</v>
      </c>
      <c r="AE90" s="73">
        <f t="shared" si="76"/>
        <v>6.2250000000000005</v>
      </c>
      <c r="AF90" s="71">
        <f t="shared" si="68"/>
        <v>9.5212539407106753</v>
      </c>
      <c r="AG90" s="71">
        <f t="shared" si="57"/>
        <v>0.79775763411078737</v>
      </c>
      <c r="AH90" s="71">
        <f t="shared" si="58"/>
        <v>5.699820972175341</v>
      </c>
      <c r="AI90" s="74">
        <f t="shared" si="69"/>
        <v>6.4975786062861287</v>
      </c>
      <c r="AJ90" s="73">
        <f t="shared" si="70"/>
        <v>8.2999999999999989</v>
      </c>
      <c r="AK90" s="71">
        <f t="shared" si="59"/>
        <v>10.994197051384186</v>
      </c>
      <c r="AL90" s="71">
        <f t="shared" si="60"/>
        <v>1.0636768454810497</v>
      </c>
      <c r="AM90" s="71">
        <f t="shared" si="71"/>
        <v>1.4388000000000003</v>
      </c>
      <c r="AN90" s="188">
        <f t="shared" si="61"/>
        <v>0.50594285714285714</v>
      </c>
      <c r="AO90" s="74">
        <f t="shared" si="72"/>
        <v>3.0084197026239075</v>
      </c>
      <c r="AP90" s="73">
        <f t="shared" si="62"/>
        <v>0.31728996811224491</v>
      </c>
      <c r="AQ90" s="206">
        <f t="shared" si="63"/>
        <v>0.29190677066326531</v>
      </c>
      <c r="AR90" s="206">
        <f t="shared" si="64"/>
        <v>0.88447929873185172</v>
      </c>
      <c r="AS90" s="71">
        <f t="shared" si="65"/>
        <v>0.19999999999999998</v>
      </c>
      <c r="AT90" s="74">
        <f t="shared" si="66"/>
        <v>3.96E-5</v>
      </c>
      <c r="AU90" s="73">
        <f t="shared" si="73"/>
        <v>11.491620717080663</v>
      </c>
      <c r="AV90" s="71">
        <f t="shared" si="74"/>
        <v>174.3</v>
      </c>
      <c r="AW90" s="74">
        <f t="shared" si="75"/>
        <v>93.814779873964369</v>
      </c>
    </row>
    <row r="91" spans="17:49" x14ac:dyDescent="0.25">
      <c r="Q91">
        <v>84</v>
      </c>
      <c r="R91" s="73">
        <f t="shared" si="49"/>
        <v>21</v>
      </c>
      <c r="S91" s="71">
        <f t="shared" si="50"/>
        <v>8.4</v>
      </c>
      <c r="T91" s="71">
        <f t="shared" si="51"/>
        <v>12</v>
      </c>
      <c r="U91" s="74">
        <f t="shared" si="52"/>
        <v>14.700000000000001</v>
      </c>
      <c r="V91" s="73">
        <f>IF(Variable_Management!$B$20=3,2,IF((S91*R91/T91)&lt;((T91*(1-(T91/R91)))/(2*Lm*Fsw)),1,2))</f>
        <v>2</v>
      </c>
      <c r="W91" s="71">
        <f t="shared" si="53"/>
        <v>0.4285714285714286</v>
      </c>
      <c r="X91" s="74">
        <f t="shared" si="54"/>
        <v>0.5714285714285714</v>
      </c>
      <c r="Y91" s="73">
        <f t="shared" si="55"/>
        <v>2.5714285714285716</v>
      </c>
      <c r="Z91" s="71">
        <f t="shared" si="77"/>
        <v>15.985714285714288</v>
      </c>
      <c r="AA91" s="71">
        <f t="shared" si="78"/>
        <v>14.718730258013538</v>
      </c>
      <c r="AB91" s="71">
        <v>0</v>
      </c>
      <c r="AC91" s="71">
        <f t="shared" si="56"/>
        <v>0.29896460816326531</v>
      </c>
      <c r="AD91" s="74">
        <f t="shared" si="67"/>
        <v>0.29896460816326531</v>
      </c>
      <c r="AE91" s="73">
        <f t="shared" si="76"/>
        <v>6.3000000000000007</v>
      </c>
      <c r="AF91" s="71">
        <f t="shared" si="68"/>
        <v>9.6356707915691366</v>
      </c>
      <c r="AG91" s="71">
        <f t="shared" si="57"/>
        <v>0.81704613411078775</v>
      </c>
      <c r="AH91" s="71">
        <f t="shared" si="58"/>
        <v>5.7684935140087781</v>
      </c>
      <c r="AI91" s="74">
        <f t="shared" si="69"/>
        <v>6.5855396481195658</v>
      </c>
      <c r="AJ91" s="73">
        <f t="shared" si="70"/>
        <v>8.4</v>
      </c>
      <c r="AK91" s="71">
        <f t="shared" si="59"/>
        <v>11.126314250670109</v>
      </c>
      <c r="AL91" s="71">
        <f t="shared" si="60"/>
        <v>1.08939484548105</v>
      </c>
      <c r="AM91" s="71">
        <f t="shared" si="71"/>
        <v>1.4388000000000003</v>
      </c>
      <c r="AN91" s="188">
        <f t="shared" si="61"/>
        <v>0.51154285714285719</v>
      </c>
      <c r="AO91" s="74">
        <f t="shared" si="72"/>
        <v>3.0397377026239076</v>
      </c>
      <c r="AP91" s="73">
        <f t="shared" si="62"/>
        <v>0.32496153061224492</v>
      </c>
      <c r="AQ91" s="206">
        <f t="shared" si="63"/>
        <v>0.29896460816326531</v>
      </c>
      <c r="AR91" s="206">
        <f t="shared" si="64"/>
        <v>0.88447929873185172</v>
      </c>
      <c r="AS91" s="71">
        <f t="shared" si="65"/>
        <v>0.19999999999999998</v>
      </c>
      <c r="AT91" s="74">
        <f t="shared" si="66"/>
        <v>3.96E-5</v>
      </c>
      <c r="AU91" s="73">
        <f t="shared" si="73"/>
        <v>11.632686996414099</v>
      </c>
      <c r="AV91" s="71">
        <f t="shared" si="74"/>
        <v>176.4</v>
      </c>
      <c r="AW91" s="74">
        <f t="shared" si="75"/>
        <v>93.813476166175334</v>
      </c>
    </row>
    <row r="92" spans="17:49" x14ac:dyDescent="0.25">
      <c r="Q92">
        <v>85</v>
      </c>
      <c r="R92" s="73">
        <f t="shared" si="49"/>
        <v>21</v>
      </c>
      <c r="S92" s="71">
        <f t="shared" si="50"/>
        <v>8.5</v>
      </c>
      <c r="T92" s="71">
        <f t="shared" si="51"/>
        <v>12</v>
      </c>
      <c r="U92" s="74">
        <f t="shared" si="52"/>
        <v>14.875</v>
      </c>
      <c r="V92" s="73">
        <f>IF(Variable_Management!$B$20=3,2,IF((S92*R92/T92)&lt;((T92*(1-(T92/R92)))/(2*Lm*Fsw)),1,2))</f>
        <v>2</v>
      </c>
      <c r="W92" s="71">
        <f t="shared" si="53"/>
        <v>0.4285714285714286</v>
      </c>
      <c r="X92" s="74">
        <f t="shared" si="54"/>
        <v>0.5714285714285714</v>
      </c>
      <c r="Y92" s="73">
        <f t="shared" si="55"/>
        <v>2.5714285714285716</v>
      </c>
      <c r="Z92" s="71">
        <f t="shared" si="77"/>
        <v>16.160714285714285</v>
      </c>
      <c r="AA92" s="71">
        <f t="shared" si="78"/>
        <v>14.893510177529112</v>
      </c>
      <c r="AB92" s="71">
        <v>0</v>
      </c>
      <c r="AC92" s="71">
        <f t="shared" si="56"/>
        <v>0.30610697066326525</v>
      </c>
      <c r="AD92" s="74">
        <f t="shared" si="67"/>
        <v>0.30610697066326525</v>
      </c>
      <c r="AE92" s="73">
        <f t="shared" si="76"/>
        <v>6.3750000000000009</v>
      </c>
      <c r="AF92" s="71">
        <f t="shared" si="68"/>
        <v>9.7500911074460497</v>
      </c>
      <c r="AG92" s="71">
        <f t="shared" si="57"/>
        <v>0.83656563411078722</v>
      </c>
      <c r="AH92" s="71">
        <f t="shared" si="58"/>
        <v>5.8371660558422152</v>
      </c>
      <c r="AI92" s="74">
        <f t="shared" si="69"/>
        <v>6.6737316899530024</v>
      </c>
      <c r="AJ92" s="73">
        <f t="shared" si="70"/>
        <v>8.5</v>
      </c>
      <c r="AK92" s="71">
        <f t="shared" si="59"/>
        <v>11.258435451014707</v>
      </c>
      <c r="AL92" s="71">
        <f t="shared" si="60"/>
        <v>1.1154208454810497</v>
      </c>
      <c r="AM92" s="71">
        <f t="shared" si="71"/>
        <v>1.4388000000000003</v>
      </c>
      <c r="AN92" s="188">
        <f t="shared" si="61"/>
        <v>0.51714285714285713</v>
      </c>
      <c r="AO92" s="74">
        <f t="shared" si="72"/>
        <v>3.0713637026239073</v>
      </c>
      <c r="AP92" s="73">
        <f t="shared" si="62"/>
        <v>0.33272496811224489</v>
      </c>
      <c r="AQ92" s="206">
        <f t="shared" si="63"/>
        <v>0.30610697066326525</v>
      </c>
      <c r="AR92" s="206">
        <f t="shared" si="64"/>
        <v>0.88447929873185172</v>
      </c>
      <c r="AS92" s="71">
        <f t="shared" si="65"/>
        <v>0.19999999999999998</v>
      </c>
      <c r="AT92" s="74">
        <f t="shared" si="66"/>
        <v>3.96E-5</v>
      </c>
      <c r="AU92" s="73">
        <f t="shared" si="73"/>
        <v>11.774553200747535</v>
      </c>
      <c r="AV92" s="71">
        <f t="shared" si="74"/>
        <v>178.5</v>
      </c>
      <c r="AW92" s="74">
        <f t="shared" si="75"/>
        <v>93.811808777012402</v>
      </c>
    </row>
    <row r="93" spans="17:49" x14ac:dyDescent="0.25">
      <c r="Q93">
        <v>86</v>
      </c>
      <c r="R93" s="73">
        <f t="shared" si="49"/>
        <v>21</v>
      </c>
      <c r="S93" s="71">
        <f t="shared" si="50"/>
        <v>8.6</v>
      </c>
      <c r="T93" s="71">
        <f t="shared" si="51"/>
        <v>12</v>
      </c>
      <c r="U93" s="74">
        <f t="shared" si="52"/>
        <v>15.049999999999999</v>
      </c>
      <c r="V93" s="73">
        <f>IF(Variable_Management!$B$20=3,2,IF((S93*R93/T93)&lt;((T93*(1-(T93/R93)))/(2*Lm*Fsw)),1,2))</f>
        <v>2</v>
      </c>
      <c r="W93" s="71">
        <f t="shared" si="53"/>
        <v>0.4285714285714286</v>
      </c>
      <c r="X93" s="74">
        <f t="shared" si="54"/>
        <v>0.5714285714285714</v>
      </c>
      <c r="Y93" s="73">
        <f t="shared" si="55"/>
        <v>2.5714285714285716</v>
      </c>
      <c r="Z93" s="71">
        <f t="shared" si="77"/>
        <v>16.335714285714285</v>
      </c>
      <c r="AA93" s="71">
        <f t="shared" si="78"/>
        <v>15.068295205767745</v>
      </c>
      <c r="AB93" s="71">
        <v>0</v>
      </c>
      <c r="AC93" s="71">
        <f t="shared" si="56"/>
        <v>0.31333385816326526</v>
      </c>
      <c r="AD93" s="74">
        <f t="shared" si="67"/>
        <v>0.31333385816326526</v>
      </c>
      <c r="AE93" s="73">
        <f t="shared" si="76"/>
        <v>6.45</v>
      </c>
      <c r="AF93" s="71">
        <f t="shared" si="68"/>
        <v>9.86451476776727</v>
      </c>
      <c r="AG93" s="71">
        <f t="shared" si="57"/>
        <v>0.85631613411078733</v>
      </c>
      <c r="AH93" s="71">
        <f t="shared" si="58"/>
        <v>5.9058385976756522</v>
      </c>
      <c r="AI93" s="74">
        <f t="shared" si="69"/>
        <v>6.7621547317864392</v>
      </c>
      <c r="AJ93" s="73">
        <f t="shared" si="70"/>
        <v>8.6</v>
      </c>
      <c r="AK93" s="71">
        <f t="shared" si="59"/>
        <v>11.390560513190943</v>
      </c>
      <c r="AL93" s="71">
        <f t="shared" si="60"/>
        <v>1.1417548454810496</v>
      </c>
      <c r="AM93" s="71">
        <f t="shared" si="71"/>
        <v>1.4388000000000003</v>
      </c>
      <c r="AN93" s="188">
        <f t="shared" si="61"/>
        <v>0.52274285714285718</v>
      </c>
      <c r="AO93" s="74">
        <f t="shared" si="72"/>
        <v>3.103297702623907</v>
      </c>
      <c r="AP93" s="73">
        <f t="shared" si="62"/>
        <v>0.34058028061224482</v>
      </c>
      <c r="AQ93" s="206">
        <f t="shared" si="63"/>
        <v>0.31333385816326526</v>
      </c>
      <c r="AR93" s="206">
        <f t="shared" si="64"/>
        <v>0.88447929873185172</v>
      </c>
      <c r="AS93" s="71">
        <f t="shared" si="65"/>
        <v>0.19999999999999998</v>
      </c>
      <c r="AT93" s="74">
        <f t="shared" si="66"/>
        <v>3.96E-5</v>
      </c>
      <c r="AU93" s="73">
        <f t="shared" si="73"/>
        <v>11.917219330080972</v>
      </c>
      <c r="AV93" s="71">
        <f t="shared" si="74"/>
        <v>180.6</v>
      </c>
      <c r="AW93" s="74">
        <f t="shared" si="75"/>
        <v>93.809790432486835</v>
      </c>
    </row>
    <row r="94" spans="17:49" x14ac:dyDescent="0.25">
      <c r="Q94">
        <v>87</v>
      </c>
      <c r="R94" s="73">
        <f t="shared" si="49"/>
        <v>21</v>
      </c>
      <c r="S94" s="71">
        <f t="shared" si="50"/>
        <v>8.7000000000000011</v>
      </c>
      <c r="T94" s="71">
        <f t="shared" si="51"/>
        <v>12</v>
      </c>
      <c r="U94" s="74">
        <f t="shared" si="52"/>
        <v>15.225000000000001</v>
      </c>
      <c r="V94" s="73">
        <f>IF(Variable_Management!$B$20=3,2,IF((S94*R94/T94)&lt;((T94*(1-(T94/R94)))/(2*Lm*Fsw)),1,2))</f>
        <v>2</v>
      </c>
      <c r="W94" s="71">
        <f t="shared" si="53"/>
        <v>0.4285714285714286</v>
      </c>
      <c r="X94" s="74">
        <f t="shared" si="54"/>
        <v>0.5714285714285714</v>
      </c>
      <c r="Y94" s="73">
        <f t="shared" si="55"/>
        <v>2.5714285714285716</v>
      </c>
      <c r="Z94" s="71">
        <f t="shared" si="77"/>
        <v>16.510714285714286</v>
      </c>
      <c r="AA94" s="71">
        <f t="shared" si="78"/>
        <v>15.24308516699173</v>
      </c>
      <c r="AB94" s="71">
        <v>0</v>
      </c>
      <c r="AC94" s="71">
        <f t="shared" si="56"/>
        <v>0.32064527066326531</v>
      </c>
      <c r="AD94" s="74">
        <f t="shared" si="67"/>
        <v>0.32064527066326531</v>
      </c>
      <c r="AE94" s="73">
        <f t="shared" si="76"/>
        <v>6.5250000000000012</v>
      </c>
      <c r="AF94" s="71">
        <f t="shared" si="68"/>
        <v>9.9789416574854553</v>
      </c>
      <c r="AG94" s="71">
        <f t="shared" si="57"/>
        <v>0.87629763411078743</v>
      </c>
      <c r="AH94" s="71">
        <f t="shared" si="58"/>
        <v>5.9745111395090911</v>
      </c>
      <c r="AI94" s="74">
        <f t="shared" si="69"/>
        <v>6.8508087736198782</v>
      </c>
      <c r="AJ94" s="73">
        <f t="shared" si="70"/>
        <v>8.7000000000000011</v>
      </c>
      <c r="AK94" s="71">
        <f t="shared" si="59"/>
        <v>11.522689304353595</v>
      </c>
      <c r="AL94" s="71">
        <f t="shared" si="60"/>
        <v>1.1683968454810496</v>
      </c>
      <c r="AM94" s="71">
        <f t="shared" si="71"/>
        <v>1.4388000000000003</v>
      </c>
      <c r="AN94" s="188">
        <f t="shared" si="61"/>
        <v>0.52834285714285711</v>
      </c>
      <c r="AO94" s="74">
        <f t="shared" si="72"/>
        <v>3.1355397026239067</v>
      </c>
      <c r="AP94" s="73">
        <f t="shared" si="62"/>
        <v>0.34852746811224494</v>
      </c>
      <c r="AQ94" s="206">
        <f t="shared" si="63"/>
        <v>0.32064527066326531</v>
      </c>
      <c r="AR94" s="206">
        <f t="shared" si="64"/>
        <v>0.88447929873185172</v>
      </c>
      <c r="AS94" s="71">
        <f t="shared" si="65"/>
        <v>0.19999999999999998</v>
      </c>
      <c r="AT94" s="74">
        <f t="shared" si="66"/>
        <v>3.96E-5</v>
      </c>
      <c r="AU94" s="73">
        <f t="shared" si="73"/>
        <v>12.060685384414411</v>
      </c>
      <c r="AV94" s="71">
        <f t="shared" si="74"/>
        <v>182.70000000000002</v>
      </c>
      <c r="AW94" s="74">
        <f t="shared" si="75"/>
        <v>93.807433281203913</v>
      </c>
    </row>
    <row r="95" spans="17:49" x14ac:dyDescent="0.25">
      <c r="Q95">
        <v>88</v>
      </c>
      <c r="R95" s="73">
        <f t="shared" si="49"/>
        <v>21</v>
      </c>
      <c r="S95" s="71">
        <f t="shared" si="50"/>
        <v>8.8000000000000007</v>
      </c>
      <c r="T95" s="71">
        <f t="shared" si="51"/>
        <v>12</v>
      </c>
      <c r="U95" s="74">
        <f t="shared" si="52"/>
        <v>15.4</v>
      </c>
      <c r="V95" s="73">
        <f>IF(Variable_Management!$B$20=3,2,IF((S95*R95/T95)&lt;((T95*(1-(T95/R95)))/(2*Lm*Fsw)),1,2))</f>
        <v>2</v>
      </c>
      <c r="W95" s="71">
        <f t="shared" si="53"/>
        <v>0.4285714285714286</v>
      </c>
      <c r="X95" s="74">
        <f t="shared" si="54"/>
        <v>0.5714285714285714</v>
      </c>
      <c r="Y95" s="73">
        <f t="shared" si="55"/>
        <v>2.5714285714285716</v>
      </c>
      <c r="Z95" s="71">
        <f t="shared" si="77"/>
        <v>16.685714285714287</v>
      </c>
      <c r="AA95" s="71">
        <f t="shared" si="78"/>
        <v>15.417879893427736</v>
      </c>
      <c r="AB95" s="71">
        <v>0</v>
      </c>
      <c r="AC95" s="71">
        <f t="shared" si="56"/>
        <v>0.32804120816326532</v>
      </c>
      <c r="AD95" s="74">
        <f t="shared" si="67"/>
        <v>0.32804120816326532</v>
      </c>
      <c r="AE95" s="73">
        <f t="shared" si="76"/>
        <v>6.6000000000000005</v>
      </c>
      <c r="AF95" s="71">
        <f t="shared" si="68"/>
        <v>10.093371666767183</v>
      </c>
      <c r="AG95" s="71">
        <f t="shared" si="57"/>
        <v>0.89651013411078717</v>
      </c>
      <c r="AH95" s="71">
        <f t="shared" si="58"/>
        <v>6.0431836813425299</v>
      </c>
      <c r="AI95" s="74">
        <f t="shared" si="69"/>
        <v>6.9396938154533174</v>
      </c>
      <c r="AJ95" s="73">
        <f t="shared" si="70"/>
        <v>8.7999999999999989</v>
      </c>
      <c r="AK95" s="71">
        <f t="shared" si="59"/>
        <v>11.654821697677949</v>
      </c>
      <c r="AL95" s="71">
        <f t="shared" si="60"/>
        <v>1.1953468454810496</v>
      </c>
      <c r="AM95" s="71">
        <f t="shared" si="71"/>
        <v>1.4388000000000003</v>
      </c>
      <c r="AN95" s="188">
        <f t="shared" si="61"/>
        <v>0.53394285714285716</v>
      </c>
      <c r="AO95" s="74">
        <f t="shared" si="72"/>
        <v>3.1680897026239072</v>
      </c>
      <c r="AP95" s="73">
        <f t="shared" si="62"/>
        <v>0.35656653061224491</v>
      </c>
      <c r="AQ95" s="206">
        <f t="shared" si="63"/>
        <v>0.32804120816326532</v>
      </c>
      <c r="AR95" s="206">
        <f t="shared" si="64"/>
        <v>0.88447929873185172</v>
      </c>
      <c r="AS95" s="71">
        <f t="shared" si="65"/>
        <v>0.19999999999999998</v>
      </c>
      <c r="AT95" s="74">
        <f t="shared" si="66"/>
        <v>3.96E-5</v>
      </c>
      <c r="AU95" s="73">
        <f t="shared" si="73"/>
        <v>12.204951363747851</v>
      </c>
      <c r="AV95" s="71">
        <f t="shared" si="74"/>
        <v>184.8</v>
      </c>
      <c r="AW95" s="74">
        <f t="shared" si="75"/>
        <v>93.804748926734959</v>
      </c>
    </row>
    <row r="96" spans="17:49" x14ac:dyDescent="0.25">
      <c r="Q96">
        <v>89</v>
      </c>
      <c r="R96" s="73">
        <f t="shared" si="49"/>
        <v>21</v>
      </c>
      <c r="S96" s="71">
        <f t="shared" si="50"/>
        <v>8.9</v>
      </c>
      <c r="T96" s="71">
        <f t="shared" si="51"/>
        <v>12</v>
      </c>
      <c r="U96" s="74">
        <f t="shared" si="52"/>
        <v>15.575000000000001</v>
      </c>
      <c r="V96" s="73">
        <f>IF(Variable_Management!$B$20=3,2,IF((S96*R96/T96)&lt;((T96*(1-(T96/R96)))/(2*Lm*Fsw)),1,2))</f>
        <v>2</v>
      </c>
      <c r="W96" s="71">
        <f t="shared" si="53"/>
        <v>0.4285714285714286</v>
      </c>
      <c r="X96" s="74">
        <f t="shared" si="54"/>
        <v>0.5714285714285714</v>
      </c>
      <c r="Y96" s="73">
        <f t="shared" si="55"/>
        <v>2.5714285714285716</v>
      </c>
      <c r="Z96" s="71">
        <f t="shared" si="77"/>
        <v>16.860714285714288</v>
      </c>
      <c r="AA96" s="71">
        <f t="shared" si="78"/>
        <v>15.592679224820964</v>
      </c>
      <c r="AB96" s="71">
        <v>0</v>
      </c>
      <c r="AC96" s="71">
        <f t="shared" si="56"/>
        <v>0.33552167066326533</v>
      </c>
      <c r="AD96" s="74">
        <f t="shared" si="67"/>
        <v>0.33552167066326533</v>
      </c>
      <c r="AE96" s="73">
        <f t="shared" si="76"/>
        <v>6.6750000000000007</v>
      </c>
      <c r="AF96" s="71">
        <f t="shared" si="68"/>
        <v>10.207804690701062</v>
      </c>
      <c r="AG96" s="71">
        <f t="shared" si="57"/>
        <v>0.91695363411078779</v>
      </c>
      <c r="AH96" s="71">
        <f t="shared" si="58"/>
        <v>6.1118562231759679</v>
      </c>
      <c r="AI96" s="74">
        <f t="shared" si="69"/>
        <v>7.0288098572867561</v>
      </c>
      <c r="AJ96" s="73">
        <f t="shared" si="70"/>
        <v>8.9</v>
      </c>
      <c r="AK96" s="71">
        <f t="shared" si="59"/>
        <v>11.786957572022764</v>
      </c>
      <c r="AL96" s="71">
        <f t="shared" si="60"/>
        <v>1.2226048454810501</v>
      </c>
      <c r="AM96" s="71">
        <f t="shared" si="71"/>
        <v>1.4388000000000003</v>
      </c>
      <c r="AN96" s="188">
        <f t="shared" si="61"/>
        <v>0.53954285714285721</v>
      </c>
      <c r="AO96" s="74">
        <f t="shared" si="72"/>
        <v>3.2009477026239077</v>
      </c>
      <c r="AP96" s="73">
        <f t="shared" si="62"/>
        <v>0.36469746811224496</v>
      </c>
      <c r="AQ96" s="206">
        <f t="shared" si="63"/>
        <v>0.33552167066326533</v>
      </c>
      <c r="AR96" s="206">
        <f t="shared" si="64"/>
        <v>0.88447929873185172</v>
      </c>
      <c r="AS96" s="71">
        <f t="shared" si="65"/>
        <v>0.19999999999999998</v>
      </c>
      <c r="AT96" s="74">
        <f t="shared" si="66"/>
        <v>3.96E-5</v>
      </c>
      <c r="AU96" s="73">
        <f t="shared" si="73"/>
        <v>12.35001726808129</v>
      </c>
      <c r="AV96" s="71">
        <f t="shared" si="74"/>
        <v>186.9</v>
      </c>
      <c r="AW96" s="74">
        <f t="shared" si="75"/>
        <v>93.801748457835785</v>
      </c>
    </row>
    <row r="97" spans="17:49" x14ac:dyDescent="0.25">
      <c r="Q97">
        <v>90</v>
      </c>
      <c r="R97" s="73">
        <f t="shared" si="49"/>
        <v>21</v>
      </c>
      <c r="S97" s="71">
        <f t="shared" si="50"/>
        <v>9</v>
      </c>
      <c r="T97" s="71">
        <f t="shared" si="51"/>
        <v>12</v>
      </c>
      <c r="U97" s="74">
        <f t="shared" si="52"/>
        <v>15.75</v>
      </c>
      <c r="V97" s="73">
        <f>IF(Variable_Management!$B$20=3,2,IF((S97*R97/T97)&lt;((T97*(1-(T97/R97)))/(2*Lm*Fsw)),1,2))</f>
        <v>2</v>
      </c>
      <c r="W97" s="71">
        <f t="shared" si="53"/>
        <v>0.4285714285714286</v>
      </c>
      <c r="X97" s="74">
        <f t="shared" si="54"/>
        <v>0.5714285714285714</v>
      </c>
      <c r="Y97" s="73">
        <f t="shared" si="55"/>
        <v>2.5714285714285716</v>
      </c>
      <c r="Z97" s="71">
        <f t="shared" si="77"/>
        <v>17.035714285714285</v>
      </c>
      <c r="AA97" s="71">
        <f t="shared" si="78"/>
        <v>15.767483008018853</v>
      </c>
      <c r="AB97" s="71">
        <v>0</v>
      </c>
      <c r="AC97" s="71">
        <f t="shared" si="56"/>
        <v>0.34308665816326533</v>
      </c>
      <c r="AD97" s="74">
        <f t="shared" si="67"/>
        <v>0.34308665816326533</v>
      </c>
      <c r="AE97" s="73">
        <f t="shared" si="76"/>
        <v>6.7500000000000009</v>
      </c>
      <c r="AF97" s="71">
        <f t="shared" si="68"/>
        <v>10.322240629025199</v>
      </c>
      <c r="AG97" s="71">
        <f t="shared" si="57"/>
        <v>0.93762813411078705</v>
      </c>
      <c r="AH97" s="71">
        <f t="shared" si="58"/>
        <v>6.1805287650094041</v>
      </c>
      <c r="AI97" s="74">
        <f t="shared" si="69"/>
        <v>7.1181568991201907</v>
      </c>
      <c r="AJ97" s="73">
        <f t="shared" si="70"/>
        <v>9</v>
      </c>
      <c r="AK97" s="71">
        <f t="shared" si="59"/>
        <v>11.919096811615582</v>
      </c>
      <c r="AL97" s="71">
        <f t="shared" si="60"/>
        <v>1.2501708454810496</v>
      </c>
      <c r="AM97" s="71">
        <f t="shared" si="71"/>
        <v>1.4388000000000003</v>
      </c>
      <c r="AN97" s="188">
        <f t="shared" si="61"/>
        <v>0.54514285714285715</v>
      </c>
      <c r="AO97" s="74">
        <f t="shared" si="72"/>
        <v>3.2341137026239073</v>
      </c>
      <c r="AP97" s="73">
        <f t="shared" si="62"/>
        <v>0.37292028061224491</v>
      </c>
      <c r="AQ97" s="206">
        <f t="shared" si="63"/>
        <v>0.34308665816326533</v>
      </c>
      <c r="AR97" s="206">
        <f t="shared" si="64"/>
        <v>0.88447929873185172</v>
      </c>
      <c r="AS97" s="71">
        <f t="shared" si="65"/>
        <v>0.19999999999999998</v>
      </c>
      <c r="AT97" s="74">
        <f t="shared" si="66"/>
        <v>3.96E-5</v>
      </c>
      <c r="AU97" s="73">
        <f t="shared" si="73"/>
        <v>12.495883097414726</v>
      </c>
      <c r="AV97" s="71">
        <f t="shared" si="74"/>
        <v>189</v>
      </c>
      <c r="AW97" s="74">
        <f t="shared" si="75"/>
        <v>93.79844247667657</v>
      </c>
    </row>
    <row r="98" spans="17:49" x14ac:dyDescent="0.25">
      <c r="Q98">
        <v>91</v>
      </c>
      <c r="R98" s="73">
        <f t="shared" si="49"/>
        <v>21</v>
      </c>
      <c r="S98" s="71">
        <f t="shared" si="50"/>
        <v>9.1</v>
      </c>
      <c r="T98" s="71">
        <f t="shared" si="51"/>
        <v>12</v>
      </c>
      <c r="U98" s="74">
        <f t="shared" si="52"/>
        <v>15.924999999999999</v>
      </c>
      <c r="V98" s="73">
        <f>IF(Variable_Management!$B$20=3,2,IF((S98*R98/T98)&lt;((T98*(1-(T98/R98)))/(2*Lm*Fsw)),1,2))</f>
        <v>2</v>
      </c>
      <c r="W98" s="71">
        <f t="shared" si="53"/>
        <v>0.4285714285714286</v>
      </c>
      <c r="X98" s="74">
        <f t="shared" si="54"/>
        <v>0.5714285714285714</v>
      </c>
      <c r="Y98" s="73">
        <f t="shared" si="55"/>
        <v>2.5714285714285716</v>
      </c>
      <c r="Z98" s="71">
        <f t="shared" si="77"/>
        <v>17.210714285714285</v>
      </c>
      <c r="AA98" s="71">
        <f t="shared" si="78"/>
        <v>15.942291096582172</v>
      </c>
      <c r="AB98" s="71">
        <v>0</v>
      </c>
      <c r="AC98" s="71">
        <f t="shared" si="56"/>
        <v>0.35073617066326518</v>
      </c>
      <c r="AD98" s="74">
        <f t="shared" si="67"/>
        <v>0.35073617066326518</v>
      </c>
      <c r="AE98" s="73">
        <f t="shared" si="76"/>
        <v>6.8250000000000002</v>
      </c>
      <c r="AF98" s="71">
        <f t="shared" si="68"/>
        <v>10.436679385872623</v>
      </c>
      <c r="AG98" s="71">
        <f t="shared" si="57"/>
        <v>0.95853363411078718</v>
      </c>
      <c r="AH98" s="71">
        <f t="shared" si="58"/>
        <v>6.2492013068428411</v>
      </c>
      <c r="AI98" s="74">
        <f t="shared" si="69"/>
        <v>7.2077349409536282</v>
      </c>
      <c r="AJ98" s="73">
        <f t="shared" si="70"/>
        <v>9.1</v>
      </c>
      <c r="AK98" s="71">
        <f t="shared" si="59"/>
        <v>12.051239305758752</v>
      </c>
      <c r="AL98" s="71">
        <f t="shared" si="60"/>
        <v>1.2780448454810494</v>
      </c>
      <c r="AM98" s="71">
        <f t="shared" si="71"/>
        <v>1.4388000000000003</v>
      </c>
      <c r="AN98" s="188">
        <f t="shared" si="61"/>
        <v>0.55074285714285709</v>
      </c>
      <c r="AO98" s="74">
        <f t="shared" si="72"/>
        <v>3.2675877026239069</v>
      </c>
      <c r="AP98" s="73">
        <f t="shared" si="62"/>
        <v>0.38123496811224483</v>
      </c>
      <c r="AQ98" s="206">
        <f t="shared" si="63"/>
        <v>0.35073617066326518</v>
      </c>
      <c r="AR98" s="206">
        <f t="shared" si="64"/>
        <v>0.88447929873185172</v>
      </c>
      <c r="AS98" s="71">
        <f t="shared" si="65"/>
        <v>0.19999999999999998</v>
      </c>
      <c r="AT98" s="74">
        <f t="shared" si="66"/>
        <v>3.96E-5</v>
      </c>
      <c r="AU98" s="73">
        <f t="shared" si="73"/>
        <v>12.64254885174816</v>
      </c>
      <c r="AV98" s="71">
        <f t="shared" si="74"/>
        <v>191.1</v>
      </c>
      <c r="AW98" s="74">
        <f t="shared" si="75"/>
        <v>93.794841125234257</v>
      </c>
    </row>
    <row r="99" spans="17:49" x14ac:dyDescent="0.25">
      <c r="Q99">
        <v>92</v>
      </c>
      <c r="R99" s="73">
        <f t="shared" si="49"/>
        <v>21</v>
      </c>
      <c r="S99" s="71">
        <f t="shared" si="50"/>
        <v>9.2000000000000011</v>
      </c>
      <c r="T99" s="71">
        <f t="shared" si="51"/>
        <v>12</v>
      </c>
      <c r="U99" s="74">
        <f t="shared" si="52"/>
        <v>16.100000000000001</v>
      </c>
      <c r="V99" s="73">
        <f>IF(Variable_Management!$B$20=3,2,IF((S99*R99/T99)&lt;((T99*(1-(T99/R99)))/(2*Lm*Fsw)),1,2))</f>
        <v>2</v>
      </c>
      <c r="W99" s="71">
        <f t="shared" si="53"/>
        <v>0.4285714285714286</v>
      </c>
      <c r="X99" s="74">
        <f t="shared" si="54"/>
        <v>0.5714285714285714</v>
      </c>
      <c r="Y99" s="73">
        <f t="shared" si="55"/>
        <v>2.5714285714285716</v>
      </c>
      <c r="Z99" s="71">
        <f t="shared" si="77"/>
        <v>17.385714285714286</v>
      </c>
      <c r="AA99" s="71">
        <f t="shared" si="78"/>
        <v>16.117103350421356</v>
      </c>
      <c r="AB99" s="71">
        <v>0</v>
      </c>
      <c r="AC99" s="71">
        <f t="shared" si="56"/>
        <v>0.3584702081632653</v>
      </c>
      <c r="AD99" s="74">
        <f t="shared" si="67"/>
        <v>0.3584702081632653</v>
      </c>
      <c r="AE99" s="73">
        <f t="shared" si="76"/>
        <v>6.9000000000000012</v>
      </c>
      <c r="AF99" s="71">
        <f t="shared" si="68"/>
        <v>10.551120869533177</v>
      </c>
      <c r="AG99" s="71">
        <f t="shared" si="57"/>
        <v>0.97967013411078729</v>
      </c>
      <c r="AH99" s="71">
        <f t="shared" si="58"/>
        <v>6.31787384867628</v>
      </c>
      <c r="AI99" s="74">
        <f t="shared" si="69"/>
        <v>7.297543982787067</v>
      </c>
      <c r="AJ99" s="73">
        <f t="shared" si="70"/>
        <v>9.2000000000000011</v>
      </c>
      <c r="AK99" s="71">
        <f t="shared" si="59"/>
        <v>12.183384948554515</v>
      </c>
      <c r="AL99" s="71">
        <f t="shared" si="60"/>
        <v>1.3062268454810495</v>
      </c>
      <c r="AM99" s="71">
        <f t="shared" si="71"/>
        <v>1.4388000000000003</v>
      </c>
      <c r="AN99" s="188">
        <f t="shared" si="61"/>
        <v>0.55634285714285714</v>
      </c>
      <c r="AO99" s="74">
        <f t="shared" si="72"/>
        <v>3.3013697026239068</v>
      </c>
      <c r="AP99" s="73">
        <f t="shared" si="62"/>
        <v>0.38964153061224494</v>
      </c>
      <c r="AQ99" s="206">
        <f t="shared" si="63"/>
        <v>0.3584702081632653</v>
      </c>
      <c r="AR99" s="206">
        <f t="shared" si="64"/>
        <v>0.88447929873185172</v>
      </c>
      <c r="AS99" s="71">
        <f t="shared" si="65"/>
        <v>0.19999999999999998</v>
      </c>
      <c r="AT99" s="74">
        <f t="shared" si="66"/>
        <v>3.96E-5</v>
      </c>
      <c r="AU99" s="73">
        <f t="shared" si="73"/>
        <v>12.790014531081599</v>
      </c>
      <c r="AV99" s="71">
        <f t="shared" si="74"/>
        <v>193.20000000000002</v>
      </c>
      <c r="AW99" s="74">
        <f t="shared" si="75"/>
        <v>93.79095410998589</v>
      </c>
    </row>
    <row r="100" spans="17:49" x14ac:dyDescent="0.25">
      <c r="Q100">
        <v>93</v>
      </c>
      <c r="R100" s="73">
        <f t="shared" si="49"/>
        <v>21</v>
      </c>
      <c r="S100" s="71">
        <f t="shared" si="50"/>
        <v>9.3000000000000007</v>
      </c>
      <c r="T100" s="71">
        <f t="shared" si="51"/>
        <v>12</v>
      </c>
      <c r="U100" s="74">
        <f t="shared" si="52"/>
        <v>16.275000000000002</v>
      </c>
      <c r="V100" s="73">
        <f>IF(Variable_Management!$B$20=3,2,IF((S100*R100/T100)&lt;((T100*(1-(T100/R100)))/(2*Lm*Fsw)),1,2))</f>
        <v>2</v>
      </c>
      <c r="W100" s="71">
        <f t="shared" si="53"/>
        <v>0.4285714285714286</v>
      </c>
      <c r="X100" s="74">
        <f t="shared" si="54"/>
        <v>0.5714285714285714</v>
      </c>
      <c r="Y100" s="73">
        <f t="shared" si="55"/>
        <v>2.5714285714285716</v>
      </c>
      <c r="Z100" s="71">
        <f t="shared" si="77"/>
        <v>17.560714285714287</v>
      </c>
      <c r="AA100" s="71">
        <f t="shared" si="78"/>
        <v>16.2919196354562</v>
      </c>
      <c r="AB100" s="71">
        <v>0</v>
      </c>
      <c r="AC100" s="71">
        <f t="shared" si="56"/>
        <v>0.36628877066326532</v>
      </c>
      <c r="AD100" s="74">
        <f t="shared" si="67"/>
        <v>0.36628877066326532</v>
      </c>
      <c r="AE100" s="73">
        <f t="shared" si="76"/>
        <v>6.9750000000000014</v>
      </c>
      <c r="AF100" s="71">
        <f t="shared" si="68"/>
        <v>10.665564992230772</v>
      </c>
      <c r="AG100" s="71">
        <f t="shared" si="57"/>
        <v>1.0010376341107876</v>
      </c>
      <c r="AH100" s="71">
        <f t="shared" si="58"/>
        <v>6.3865463905097188</v>
      </c>
      <c r="AI100" s="74">
        <f t="shared" si="69"/>
        <v>7.3875840246205069</v>
      </c>
      <c r="AJ100" s="73">
        <f t="shared" si="70"/>
        <v>9.3000000000000007</v>
      </c>
      <c r="AK100" s="71">
        <f t="shared" si="59"/>
        <v>12.31553363864777</v>
      </c>
      <c r="AL100" s="71">
        <f t="shared" si="60"/>
        <v>1.3347168454810503</v>
      </c>
      <c r="AM100" s="71">
        <f t="shared" si="71"/>
        <v>1.4388000000000003</v>
      </c>
      <c r="AN100" s="188">
        <f t="shared" si="61"/>
        <v>0.56194285714285719</v>
      </c>
      <c r="AO100" s="74">
        <f t="shared" si="72"/>
        <v>3.3354597026239077</v>
      </c>
      <c r="AP100" s="73">
        <f t="shared" si="62"/>
        <v>0.39813996811224489</v>
      </c>
      <c r="AQ100" s="206">
        <f t="shared" si="63"/>
        <v>0.36628877066326532</v>
      </c>
      <c r="AR100" s="206">
        <f t="shared" si="64"/>
        <v>0.88447929873185172</v>
      </c>
      <c r="AS100" s="71">
        <f t="shared" si="65"/>
        <v>0.19999999999999998</v>
      </c>
      <c r="AT100" s="74">
        <f t="shared" si="66"/>
        <v>3.96E-5</v>
      </c>
      <c r="AU100" s="73">
        <f t="shared" si="73"/>
        <v>12.938280135415042</v>
      </c>
      <c r="AV100" s="71">
        <f t="shared" si="74"/>
        <v>195.3</v>
      </c>
      <c r="AW100" s="74">
        <f t="shared" si="75"/>
        <v>93.786790725028368</v>
      </c>
    </row>
    <row r="101" spans="17:49" x14ac:dyDescent="0.25">
      <c r="Q101">
        <v>94</v>
      </c>
      <c r="R101" s="73">
        <f t="shared" si="49"/>
        <v>21</v>
      </c>
      <c r="S101" s="71">
        <f t="shared" si="50"/>
        <v>9.4</v>
      </c>
      <c r="T101" s="71">
        <f t="shared" si="51"/>
        <v>12</v>
      </c>
      <c r="U101" s="74">
        <f t="shared" si="52"/>
        <v>16.45</v>
      </c>
      <c r="V101" s="73">
        <f>IF(Variable_Management!$B$20=3,2,IF((S101*R101/T101)&lt;((T101*(1-(T101/R101)))/(2*Lm*Fsw)),1,2))</f>
        <v>2</v>
      </c>
      <c r="W101" s="71">
        <f t="shared" si="53"/>
        <v>0.4285714285714286</v>
      </c>
      <c r="X101" s="74">
        <f t="shared" si="54"/>
        <v>0.5714285714285714</v>
      </c>
      <c r="Y101" s="73">
        <f t="shared" si="55"/>
        <v>2.5714285714285716</v>
      </c>
      <c r="Z101" s="71">
        <f t="shared" si="77"/>
        <v>17.735714285714284</v>
      </c>
      <c r="AA101" s="71">
        <f t="shared" si="78"/>
        <v>16.466739823297239</v>
      </c>
      <c r="AB101" s="71">
        <v>0</v>
      </c>
      <c r="AC101" s="71">
        <f t="shared" si="56"/>
        <v>0.37419185816326517</v>
      </c>
      <c r="AD101" s="74">
        <f t="shared" si="67"/>
        <v>0.37419185816326517</v>
      </c>
      <c r="AE101" s="73">
        <f t="shared" si="76"/>
        <v>7.05</v>
      </c>
      <c r="AF101" s="71">
        <f t="shared" si="68"/>
        <v>10.780011669914765</v>
      </c>
      <c r="AG101" s="71">
        <f t="shared" si="57"/>
        <v>1.022636134110787</v>
      </c>
      <c r="AH101" s="71">
        <f t="shared" si="58"/>
        <v>6.4552189323431559</v>
      </c>
      <c r="AI101" s="74">
        <f t="shared" si="69"/>
        <v>7.4778550664539427</v>
      </c>
      <c r="AJ101" s="73">
        <f t="shared" si="70"/>
        <v>9.3999999999999986</v>
      </c>
      <c r="AK101" s="71">
        <f t="shared" si="59"/>
        <v>12.447685278985192</v>
      </c>
      <c r="AL101" s="71">
        <f t="shared" si="60"/>
        <v>1.3635148454810491</v>
      </c>
      <c r="AM101" s="71">
        <f t="shared" si="71"/>
        <v>1.4388000000000003</v>
      </c>
      <c r="AN101" s="188">
        <f t="shared" si="61"/>
        <v>0.56754285714285713</v>
      </c>
      <c r="AO101" s="74">
        <f t="shared" si="72"/>
        <v>3.3698577026239067</v>
      </c>
      <c r="AP101" s="73">
        <f t="shared" si="62"/>
        <v>0.40673028061224475</v>
      </c>
      <c r="AQ101" s="206">
        <f t="shared" si="63"/>
        <v>0.37419185816326517</v>
      </c>
      <c r="AR101" s="206">
        <f t="shared" si="64"/>
        <v>0.88447929873185172</v>
      </c>
      <c r="AS101" s="71">
        <f t="shared" si="65"/>
        <v>0.19999999999999998</v>
      </c>
      <c r="AT101" s="74">
        <f t="shared" si="66"/>
        <v>3.96E-5</v>
      </c>
      <c r="AU101" s="73">
        <f t="shared" si="73"/>
        <v>13.087345664748474</v>
      </c>
      <c r="AV101" s="71">
        <f t="shared" si="74"/>
        <v>197.4</v>
      </c>
      <c r="AW101" s="74">
        <f t="shared" si="75"/>
        <v>93.7823598737412</v>
      </c>
    </row>
    <row r="102" spans="17:49" x14ac:dyDescent="0.25">
      <c r="Q102">
        <v>95</v>
      </c>
      <c r="R102" s="73">
        <f t="shared" si="49"/>
        <v>21</v>
      </c>
      <c r="S102" s="71">
        <f t="shared" si="50"/>
        <v>9.5</v>
      </c>
      <c r="T102" s="71">
        <f t="shared" si="51"/>
        <v>12</v>
      </c>
      <c r="U102" s="74">
        <f t="shared" si="52"/>
        <v>16.625</v>
      </c>
      <c r="V102" s="73">
        <f>IF(Variable_Management!$B$20=3,2,IF((S102*R102/T102)&lt;((T102*(1-(T102/R102)))/(2*Lm*Fsw)),1,2))</f>
        <v>2</v>
      </c>
      <c r="W102" s="71">
        <f t="shared" si="53"/>
        <v>0.4285714285714286</v>
      </c>
      <c r="X102" s="74">
        <f t="shared" si="54"/>
        <v>0.5714285714285714</v>
      </c>
      <c r="Y102" s="73">
        <f t="shared" si="55"/>
        <v>2.5714285714285716</v>
      </c>
      <c r="Z102" s="71">
        <f t="shared" si="77"/>
        <v>17.910714285714285</v>
      </c>
      <c r="AA102" s="71">
        <f t="shared" si="78"/>
        <v>16.641563790947149</v>
      </c>
      <c r="AB102" s="71">
        <v>0</v>
      </c>
      <c r="AC102" s="71">
        <f t="shared" si="56"/>
        <v>0.3821794706632653</v>
      </c>
      <c r="AD102" s="74">
        <f t="shared" si="67"/>
        <v>0.3821794706632653</v>
      </c>
      <c r="AE102" s="73">
        <f t="shared" si="76"/>
        <v>7.1250000000000009</v>
      </c>
      <c r="AF102" s="71">
        <f t="shared" si="68"/>
        <v>10.894460822064511</v>
      </c>
      <c r="AG102" s="71">
        <f t="shared" si="57"/>
        <v>1.0444656341107872</v>
      </c>
      <c r="AH102" s="71">
        <f t="shared" si="58"/>
        <v>6.5238914741765939</v>
      </c>
      <c r="AI102" s="74">
        <f t="shared" si="69"/>
        <v>7.5683571082873815</v>
      </c>
      <c r="AJ102" s="73">
        <f t="shared" si="70"/>
        <v>9.5</v>
      </c>
      <c r="AK102" s="71">
        <f t="shared" si="59"/>
        <v>12.579839776589553</v>
      </c>
      <c r="AL102" s="71">
        <f t="shared" si="60"/>
        <v>1.3926208454810496</v>
      </c>
      <c r="AM102" s="71">
        <f t="shared" si="71"/>
        <v>1.4388000000000003</v>
      </c>
      <c r="AN102" s="188">
        <f t="shared" si="61"/>
        <v>0.57314285714285718</v>
      </c>
      <c r="AO102" s="74">
        <f t="shared" si="72"/>
        <v>3.4045637026239071</v>
      </c>
      <c r="AP102" s="73">
        <f t="shared" si="62"/>
        <v>0.41541246811224491</v>
      </c>
      <c r="AQ102" s="206">
        <f t="shared" si="63"/>
        <v>0.3821794706632653</v>
      </c>
      <c r="AR102" s="206">
        <f t="shared" si="64"/>
        <v>0.88447929873185172</v>
      </c>
      <c r="AS102" s="71">
        <f t="shared" si="65"/>
        <v>0.19999999999999998</v>
      </c>
      <c r="AT102" s="74">
        <f t="shared" si="66"/>
        <v>3.96E-5</v>
      </c>
      <c r="AU102" s="73">
        <f t="shared" si="73"/>
        <v>13.237211119081916</v>
      </c>
      <c r="AV102" s="71">
        <f t="shared" si="74"/>
        <v>199.5</v>
      </c>
      <c r="AW102" s="74">
        <f t="shared" si="75"/>
        <v>93.777670089097739</v>
      </c>
    </row>
    <row r="103" spans="17:49" x14ac:dyDescent="0.25">
      <c r="Q103">
        <v>96</v>
      </c>
      <c r="R103" s="73">
        <f t="shared" si="49"/>
        <v>21</v>
      </c>
      <c r="S103" s="71">
        <f t="shared" ref="S103:S134" si="79">Q103*$O$12</f>
        <v>9.6000000000000014</v>
      </c>
      <c r="T103" s="71">
        <f t="shared" si="51"/>
        <v>12</v>
      </c>
      <c r="U103" s="74">
        <f t="shared" ref="U103:U134" si="80">(R103*S103)/(T103*EFF_est)</f>
        <v>16.8</v>
      </c>
      <c r="V103" s="73">
        <f>IF(Variable_Management!$B$20=3,2,IF((S103*R103/T103)&lt;((T103*(1-(T103/R103)))/(2*Lm*Fsw)),1,2))</f>
        <v>2</v>
      </c>
      <c r="W103" s="71">
        <f t="shared" ref="W103:W134" si="81">CHOOSE(V103,SQRT((2*S103*Lm*Fsw*(R103-T103))/((T103)^2)),1-(T103/R103))</f>
        <v>0.4285714285714286</v>
      </c>
      <c r="X103" s="74">
        <f t="shared" ref="X103:X134" si="82">CHOOSE(V103,(Lm*Z103*Fsw)/(R103-T103),1-W103)</f>
        <v>0.5714285714285714</v>
      </c>
      <c r="Y103" s="73">
        <f t="shared" ref="Y103:Y134" si="83">(T103*W103)/(Lm*Fsw)</f>
        <v>2.5714285714285716</v>
      </c>
      <c r="Z103" s="71">
        <f t="shared" si="77"/>
        <v>18.085714285714285</v>
      </c>
      <c r="AA103" s="71">
        <f t="shared" si="78"/>
        <v>16.816391420520731</v>
      </c>
      <c r="AB103" s="71">
        <v>0</v>
      </c>
      <c r="AC103" s="71">
        <f t="shared" ref="AC103:AC134" si="84">(AA103^2)*Rdcr</f>
        <v>0.39025160816326521</v>
      </c>
      <c r="AD103" s="74">
        <f t="shared" si="67"/>
        <v>0.39025160816326521</v>
      </c>
      <c r="AE103" s="73">
        <f t="shared" si="76"/>
        <v>7.2000000000000011</v>
      </c>
      <c r="AF103" s="71">
        <f t="shared" si="68"/>
        <v>11.008912371506032</v>
      </c>
      <c r="AG103" s="71">
        <f t="shared" ref="AG103:AG134" si="85">(AF103^2)*RDS_on</f>
        <v>1.0665261341107874</v>
      </c>
      <c r="AH103" s="71">
        <f t="shared" ref="AH103:AH134" si="86">((R103*U103)/2)*Fsw*(tr_sw+tf_sw)</f>
        <v>6.5925640160100309</v>
      </c>
      <c r="AI103" s="74">
        <f t="shared" si="69"/>
        <v>7.659090150120818</v>
      </c>
      <c r="AJ103" s="73">
        <f t="shared" si="70"/>
        <v>9.6</v>
      </c>
      <c r="AK103" s="71">
        <f t="shared" ref="AK103:AK134" si="87">CHOOSE(V103,Z103*SQRT(X103/3),SQRT(X103*((Z103^2)+((Y103^2)/3)-(Y103*Z103))))</f>
        <v>12.711997042348017</v>
      </c>
      <c r="AL103" s="71">
        <f t="shared" ref="AL103:AL134" si="88">(AK103^2)*RDS_on_HS</f>
        <v>1.4220348454810499</v>
      </c>
      <c r="AM103" s="71">
        <f t="shared" si="71"/>
        <v>1.4388000000000003</v>
      </c>
      <c r="AN103" s="188">
        <f t="shared" ref="AN103:AN134" si="89">Vd_rect*t_dead*Fsw*Z103</f>
        <v>0.57874285714285711</v>
      </c>
      <c r="AO103" s="74">
        <f t="shared" si="72"/>
        <v>3.4395777026239074</v>
      </c>
      <c r="AP103" s="73">
        <f t="shared" ref="AP103:AP134" si="90">(AA103^2)*R_cs</f>
        <v>0.42418653061224482</v>
      </c>
      <c r="AQ103" s="206">
        <f t="shared" ref="AQ103:AQ134" si="91">Rdcr*AA103^2</f>
        <v>0.39025160816326521</v>
      </c>
      <c r="AR103" s="206">
        <f t="shared" ref="AR103:AR134" si="92">ABS(7.759*10^-3*Fsw^0.9458*(0.00787*Y103)^2.304)</f>
        <v>0.88447929873185172</v>
      </c>
      <c r="AS103" s="71">
        <f t="shared" ref="AS103:AS134" si="93">(Qg_tot+Qg_tot_HS)*Vcc*Fsw</f>
        <v>0.19999999999999998</v>
      </c>
      <c r="AT103" s="74">
        <f t="shared" ref="AT103:AT134" si="94">IQ*T103</f>
        <v>3.96E-5</v>
      </c>
      <c r="AU103" s="73">
        <f t="shared" si="73"/>
        <v>13.38787649841535</v>
      </c>
      <c r="AV103" s="71">
        <f t="shared" si="74"/>
        <v>201.60000000000002</v>
      </c>
      <c r="AW103" s="74">
        <f t="shared" si="75"/>
        <v>93.772729552722467</v>
      </c>
    </row>
    <row r="104" spans="17:49" x14ac:dyDescent="0.25">
      <c r="Q104">
        <v>97</v>
      </c>
      <c r="R104" s="73">
        <f t="shared" si="49"/>
        <v>21</v>
      </c>
      <c r="S104" s="71">
        <f t="shared" si="79"/>
        <v>9.7000000000000011</v>
      </c>
      <c r="T104" s="71">
        <f t="shared" si="51"/>
        <v>12</v>
      </c>
      <c r="U104" s="74">
        <f t="shared" si="80"/>
        <v>16.975000000000001</v>
      </c>
      <c r="V104" s="73">
        <f>IF(Variable_Management!$B$20=3,2,IF((S104*R104/T104)&lt;((T104*(1-(T104/R104)))/(2*Lm*Fsw)),1,2))</f>
        <v>2</v>
      </c>
      <c r="W104" s="71">
        <f t="shared" si="81"/>
        <v>0.4285714285714286</v>
      </c>
      <c r="X104" s="74">
        <f t="shared" si="82"/>
        <v>0.5714285714285714</v>
      </c>
      <c r="Y104" s="73">
        <f t="shared" si="83"/>
        <v>2.5714285714285716</v>
      </c>
      <c r="Z104" s="71">
        <f t="shared" si="77"/>
        <v>18.260714285714286</v>
      </c>
      <c r="AA104" s="71">
        <f t="shared" si="78"/>
        <v>16.991222598982198</v>
      </c>
      <c r="AB104" s="71">
        <v>0</v>
      </c>
      <c r="AC104" s="71">
        <f t="shared" si="84"/>
        <v>0.3984082706632654</v>
      </c>
      <c r="AD104" s="74">
        <f t="shared" si="67"/>
        <v>0.3984082706632654</v>
      </c>
      <c r="AE104" s="73">
        <f t="shared" si="76"/>
        <v>7.2750000000000012</v>
      </c>
      <c r="AF104" s="71">
        <f t="shared" si="68"/>
        <v>11.12336624424003</v>
      </c>
      <c r="AG104" s="71">
        <f t="shared" si="85"/>
        <v>1.0888176341107874</v>
      </c>
      <c r="AH104" s="71">
        <f t="shared" si="86"/>
        <v>6.6612365578434689</v>
      </c>
      <c r="AI104" s="74">
        <f t="shared" si="69"/>
        <v>7.7500541919542565</v>
      </c>
      <c r="AJ104" s="73">
        <f t="shared" si="70"/>
        <v>9.7000000000000011</v>
      </c>
      <c r="AK104" s="71">
        <f t="shared" si="87"/>
        <v>12.844156990813556</v>
      </c>
      <c r="AL104" s="71">
        <f t="shared" si="88"/>
        <v>1.4517568454810499</v>
      </c>
      <c r="AM104" s="71">
        <f t="shared" ref="AM104:AM135" si="95">CHOOSE(V104,(R104+Vd_rect)*Qrr*Fsw,(R104+Vd_rect)*Qrr*Fsw)</f>
        <v>1.4388000000000003</v>
      </c>
      <c r="AN104" s="188">
        <f t="shared" si="89"/>
        <v>0.58434285714285716</v>
      </c>
      <c r="AO104" s="74">
        <f t="shared" si="72"/>
        <v>3.4748997026239072</v>
      </c>
      <c r="AP104" s="73">
        <f t="shared" si="90"/>
        <v>0.43305246811224507</v>
      </c>
      <c r="AQ104" s="206">
        <f t="shared" si="91"/>
        <v>0.3984082706632654</v>
      </c>
      <c r="AR104" s="206">
        <f t="shared" si="92"/>
        <v>0.88447929873185172</v>
      </c>
      <c r="AS104" s="71">
        <f t="shared" si="93"/>
        <v>0.19999999999999998</v>
      </c>
      <c r="AT104" s="74">
        <f t="shared" si="94"/>
        <v>3.96E-5</v>
      </c>
      <c r="AU104" s="73">
        <f t="shared" si="73"/>
        <v>13.53934180274879</v>
      </c>
      <c r="AV104" s="71">
        <f t="shared" si="74"/>
        <v>203.70000000000002</v>
      </c>
      <c r="AW104" s="74">
        <f t="shared" si="75"/>
        <v>93.767546112783577</v>
      </c>
    </row>
    <row r="105" spans="17:49" x14ac:dyDescent="0.25">
      <c r="Q105">
        <v>98</v>
      </c>
      <c r="R105" s="73">
        <f t="shared" si="49"/>
        <v>21</v>
      </c>
      <c r="S105" s="71">
        <f t="shared" si="79"/>
        <v>9.8000000000000007</v>
      </c>
      <c r="T105" s="71">
        <f t="shared" si="51"/>
        <v>12</v>
      </c>
      <c r="U105" s="74">
        <f t="shared" si="80"/>
        <v>17.150000000000002</v>
      </c>
      <c r="V105" s="73">
        <f>IF(Variable_Management!$B$20=3,2,IF((S105*R105/T105)&lt;((T105*(1-(T105/R105)))/(2*Lm*Fsw)),1,2))</f>
        <v>2</v>
      </c>
      <c r="W105" s="71">
        <f t="shared" si="81"/>
        <v>0.4285714285714286</v>
      </c>
      <c r="X105" s="74">
        <f t="shared" si="82"/>
        <v>0.5714285714285714</v>
      </c>
      <c r="Y105" s="73">
        <f t="shared" si="83"/>
        <v>2.5714285714285716</v>
      </c>
      <c r="Z105" s="71">
        <f t="shared" si="77"/>
        <v>18.435714285714287</v>
      </c>
      <c r="AA105" s="71">
        <f t="shared" si="78"/>
        <v>17.166057217898445</v>
      </c>
      <c r="AB105" s="71">
        <v>0</v>
      </c>
      <c r="AC105" s="71">
        <f t="shared" si="84"/>
        <v>0.40664945816326536</v>
      </c>
      <c r="AD105" s="74">
        <f t="shared" si="67"/>
        <v>0.40664945816326536</v>
      </c>
      <c r="AE105" s="73">
        <f t="shared" si="76"/>
        <v>7.3500000000000014</v>
      </c>
      <c r="AF105" s="71">
        <f t="shared" si="68"/>
        <v>11.237822369280384</v>
      </c>
      <c r="AG105" s="71">
        <f t="shared" si="85"/>
        <v>1.1113401341107876</v>
      </c>
      <c r="AH105" s="71">
        <f t="shared" si="86"/>
        <v>6.7299090996769078</v>
      </c>
      <c r="AI105" s="74">
        <f t="shared" si="69"/>
        <v>7.8412492337876953</v>
      </c>
      <c r="AJ105" s="73">
        <f t="shared" si="70"/>
        <v>9.8000000000000007</v>
      </c>
      <c r="AK105" s="71">
        <f t="shared" si="87"/>
        <v>12.976319540018453</v>
      </c>
      <c r="AL105" s="71">
        <f t="shared" si="88"/>
        <v>1.4817868454810497</v>
      </c>
      <c r="AM105" s="71">
        <f t="shared" si="95"/>
        <v>1.4388000000000003</v>
      </c>
      <c r="AN105" s="188">
        <f t="shared" si="89"/>
        <v>0.58994285714285721</v>
      </c>
      <c r="AO105" s="74">
        <f t="shared" si="72"/>
        <v>3.5105297026239071</v>
      </c>
      <c r="AP105" s="73">
        <f t="shared" si="90"/>
        <v>0.44201028061224495</v>
      </c>
      <c r="AQ105" s="206">
        <f t="shared" si="91"/>
        <v>0.40664945816326536</v>
      </c>
      <c r="AR105" s="206">
        <f t="shared" si="92"/>
        <v>0.88447929873185172</v>
      </c>
      <c r="AS105" s="71">
        <f t="shared" si="93"/>
        <v>0.19999999999999998</v>
      </c>
      <c r="AT105" s="74">
        <f t="shared" si="94"/>
        <v>3.96E-5</v>
      </c>
      <c r="AU105" s="73">
        <f t="shared" si="73"/>
        <v>13.691607032082228</v>
      </c>
      <c r="AV105" s="71">
        <f t="shared" si="74"/>
        <v>205.8</v>
      </c>
      <c r="AW105" s="74">
        <f t="shared" si="75"/>
        <v>93.762127300803357</v>
      </c>
    </row>
    <row r="106" spans="17:49" x14ac:dyDescent="0.25">
      <c r="Q106">
        <v>99</v>
      </c>
      <c r="R106" s="73">
        <f t="shared" si="49"/>
        <v>21</v>
      </c>
      <c r="S106" s="71">
        <f t="shared" si="79"/>
        <v>9.9</v>
      </c>
      <c r="T106" s="71">
        <f t="shared" si="51"/>
        <v>12</v>
      </c>
      <c r="U106" s="74">
        <f t="shared" si="80"/>
        <v>17.324999999999999</v>
      </c>
      <c r="V106" s="73">
        <f>IF(Variable_Management!$B$20=3,2,IF((S106*R106/T106)&lt;((T106*(1-(T106/R106)))/(2*Lm*Fsw)),1,2))</f>
        <v>2</v>
      </c>
      <c r="W106" s="71">
        <f t="shared" si="81"/>
        <v>0.4285714285714286</v>
      </c>
      <c r="X106" s="74">
        <f t="shared" si="82"/>
        <v>0.5714285714285714</v>
      </c>
      <c r="Y106" s="73">
        <f t="shared" si="83"/>
        <v>2.5714285714285716</v>
      </c>
      <c r="Z106" s="71">
        <f t="shared" si="77"/>
        <v>18.610714285714284</v>
      </c>
      <c r="AA106" s="71">
        <f t="shared" si="78"/>
        <v>17.340895173207272</v>
      </c>
      <c r="AB106" s="71">
        <v>0</v>
      </c>
      <c r="AC106" s="71">
        <f t="shared" si="84"/>
        <v>0.41497517066326534</v>
      </c>
      <c r="AD106" s="74">
        <f t="shared" si="67"/>
        <v>0.41497517066326534</v>
      </c>
      <c r="AE106" s="73">
        <f t="shared" si="76"/>
        <v>7.4249999999999998</v>
      </c>
      <c r="AF106" s="71">
        <f t="shared" si="68"/>
        <v>11.352280678502384</v>
      </c>
      <c r="AG106" s="71">
        <f t="shared" si="85"/>
        <v>1.1340936341107872</v>
      </c>
      <c r="AH106" s="71">
        <f t="shared" si="86"/>
        <v>6.7985816415103448</v>
      </c>
      <c r="AI106" s="74">
        <f t="shared" si="69"/>
        <v>7.9326752756211318</v>
      </c>
      <c r="AJ106" s="73">
        <f t="shared" si="70"/>
        <v>9.8999999999999986</v>
      </c>
      <c r="AK106" s="71">
        <f t="shared" si="87"/>
        <v>13.108484611299076</v>
      </c>
      <c r="AL106" s="71">
        <f t="shared" si="88"/>
        <v>1.5121248454810494</v>
      </c>
      <c r="AM106" s="71">
        <f t="shared" si="95"/>
        <v>1.4388000000000003</v>
      </c>
      <c r="AN106" s="188">
        <f t="shared" si="89"/>
        <v>0.59554285714285715</v>
      </c>
      <c r="AO106" s="74">
        <f t="shared" si="72"/>
        <v>3.5464677026239069</v>
      </c>
      <c r="AP106" s="73">
        <f t="shared" si="90"/>
        <v>0.45105996811224497</v>
      </c>
      <c r="AQ106" s="206">
        <f t="shared" si="91"/>
        <v>0.41497517066326534</v>
      </c>
      <c r="AR106" s="206">
        <f t="shared" si="92"/>
        <v>0.88447929873185172</v>
      </c>
      <c r="AS106" s="71">
        <f t="shared" si="93"/>
        <v>0.19999999999999998</v>
      </c>
      <c r="AT106" s="74">
        <f t="shared" si="94"/>
        <v>3.96E-5</v>
      </c>
      <c r="AU106" s="73">
        <f t="shared" si="73"/>
        <v>13.844672186415664</v>
      </c>
      <c r="AV106" s="71">
        <f t="shared" si="74"/>
        <v>207.9</v>
      </c>
      <c r="AW106" s="74">
        <f t="shared" si="75"/>
        <v>93.756480347461618</v>
      </c>
    </row>
    <row r="107" spans="17:49" x14ac:dyDescent="0.25">
      <c r="Q107">
        <v>100</v>
      </c>
      <c r="R107" s="73">
        <f t="shared" si="49"/>
        <v>21</v>
      </c>
      <c r="S107" s="71">
        <f t="shared" si="79"/>
        <v>10</v>
      </c>
      <c r="T107" s="71">
        <f t="shared" si="51"/>
        <v>12</v>
      </c>
      <c r="U107" s="74">
        <f t="shared" si="80"/>
        <v>17.5</v>
      </c>
      <c r="V107" s="73">
        <f>IF(Variable_Management!$B$20=3,2,IF((S107*R107/T107)&lt;((T107*(1-(T107/R107)))/(2*Lm*Fsw)),1,2))</f>
        <v>2</v>
      </c>
      <c r="W107" s="71">
        <f t="shared" si="81"/>
        <v>0.4285714285714286</v>
      </c>
      <c r="X107" s="74">
        <f t="shared" si="82"/>
        <v>0.5714285714285714</v>
      </c>
      <c r="Y107" s="73">
        <f t="shared" si="83"/>
        <v>2.5714285714285716</v>
      </c>
      <c r="Z107" s="71">
        <f t="shared" si="77"/>
        <v>18.785714285714285</v>
      </c>
      <c r="AA107" s="71">
        <f t="shared" si="78"/>
        <v>17.515736364999423</v>
      </c>
      <c r="AB107" s="71">
        <v>0</v>
      </c>
      <c r="AC107" s="71">
        <f t="shared" si="84"/>
        <v>0.4233854081632652</v>
      </c>
      <c r="AD107" s="74">
        <f t="shared" si="67"/>
        <v>0.4233854081632652</v>
      </c>
      <c r="AE107" s="73">
        <f t="shared" si="76"/>
        <v>7.5000000000000009</v>
      </c>
      <c r="AF107" s="71">
        <f t="shared" si="68"/>
        <v>11.466741106500073</v>
      </c>
      <c r="AG107" s="71">
        <f t="shared" si="85"/>
        <v>1.1570781341107872</v>
      </c>
      <c r="AH107" s="71">
        <f t="shared" si="86"/>
        <v>6.8672541833437828</v>
      </c>
      <c r="AI107" s="74">
        <f t="shared" si="69"/>
        <v>8.0243323174545704</v>
      </c>
      <c r="AJ107" s="73">
        <f t="shared" si="70"/>
        <v>10</v>
      </c>
      <c r="AK107" s="71">
        <f t="shared" si="87"/>
        <v>13.24065212913113</v>
      </c>
      <c r="AL107" s="71">
        <f t="shared" si="88"/>
        <v>1.5427708454810496</v>
      </c>
      <c r="AM107" s="71">
        <f t="shared" si="95"/>
        <v>1.4388000000000003</v>
      </c>
      <c r="AN107" s="188">
        <f t="shared" si="89"/>
        <v>0.60114285714285709</v>
      </c>
      <c r="AO107" s="74">
        <f t="shared" si="72"/>
        <v>3.5827137026239071</v>
      </c>
      <c r="AP107" s="73">
        <f t="shared" si="90"/>
        <v>0.46020153061224478</v>
      </c>
      <c r="AQ107" s="206">
        <f t="shared" si="91"/>
        <v>0.4233854081632652</v>
      </c>
      <c r="AR107" s="206">
        <f t="shared" si="92"/>
        <v>0.88447929873185172</v>
      </c>
      <c r="AS107" s="71">
        <f t="shared" si="93"/>
        <v>0.19999999999999998</v>
      </c>
      <c r="AT107" s="74">
        <f t="shared" si="94"/>
        <v>3.96E-5</v>
      </c>
      <c r="AU107" s="73">
        <f t="shared" si="73"/>
        <v>13.998537265749103</v>
      </c>
      <c r="AV107" s="71">
        <f t="shared" si="74"/>
        <v>210</v>
      </c>
      <c r="AW107" s="74">
        <f t="shared" si="75"/>
        <v>93.750612197462075</v>
      </c>
    </row>
    <row r="108" spans="17:49" x14ac:dyDescent="0.25">
      <c r="Q108">
        <v>101</v>
      </c>
      <c r="R108" s="73">
        <f t="shared" si="49"/>
        <v>21</v>
      </c>
      <c r="S108" s="71">
        <f t="shared" si="79"/>
        <v>10.100000000000001</v>
      </c>
      <c r="T108" s="71">
        <f t="shared" si="51"/>
        <v>12</v>
      </c>
      <c r="U108" s="74">
        <f t="shared" si="80"/>
        <v>17.675000000000001</v>
      </c>
      <c r="V108" s="73">
        <f>IF(Variable_Management!$B$20=3,2,IF((S108*R108/T108)&lt;((T108*(1-(T108/R108)))/(2*Lm*Fsw)),1,2))</f>
        <v>2</v>
      </c>
      <c r="W108" s="71">
        <f t="shared" si="81"/>
        <v>0.4285714285714286</v>
      </c>
      <c r="X108" s="74">
        <f t="shared" si="82"/>
        <v>0.5714285714285714</v>
      </c>
      <c r="Y108" s="73">
        <f t="shared" si="83"/>
        <v>2.5714285714285716</v>
      </c>
      <c r="Z108" s="71">
        <f t="shared" si="77"/>
        <v>18.960714285714285</v>
      </c>
      <c r="AA108" s="71">
        <f t="shared" si="78"/>
        <v>17.690580697313564</v>
      </c>
      <c r="AB108" s="71">
        <v>0</v>
      </c>
      <c r="AC108" s="71">
        <f t="shared" si="84"/>
        <v>0.43188017066326523</v>
      </c>
      <c r="AD108" s="74">
        <f t="shared" si="67"/>
        <v>0.43188017066326523</v>
      </c>
      <c r="AE108" s="73">
        <f t="shared" si="76"/>
        <v>7.5750000000000011</v>
      </c>
      <c r="AF108" s="71">
        <f t="shared" si="68"/>
        <v>11.581203590452011</v>
      </c>
      <c r="AG108" s="71">
        <f t="shared" si="85"/>
        <v>1.1802936341107872</v>
      </c>
      <c r="AH108" s="71">
        <f t="shared" si="86"/>
        <v>6.9359267251772208</v>
      </c>
      <c r="AI108" s="74">
        <f t="shared" si="69"/>
        <v>8.1162203592880076</v>
      </c>
      <c r="AJ108" s="73">
        <f t="shared" si="70"/>
        <v>10.1</v>
      </c>
      <c r="AK108" s="71">
        <f t="shared" si="87"/>
        <v>13.372822020974656</v>
      </c>
      <c r="AL108" s="71">
        <f t="shared" si="88"/>
        <v>1.5737248454810495</v>
      </c>
      <c r="AM108" s="71">
        <f t="shared" si="95"/>
        <v>1.4388000000000003</v>
      </c>
      <c r="AN108" s="188">
        <f t="shared" si="89"/>
        <v>0.60674285714285714</v>
      </c>
      <c r="AO108" s="74">
        <f t="shared" si="72"/>
        <v>3.6192677026239068</v>
      </c>
      <c r="AP108" s="73">
        <f t="shared" si="90"/>
        <v>0.46943496811224489</v>
      </c>
      <c r="AQ108" s="206">
        <f t="shared" si="91"/>
        <v>0.43188017066326523</v>
      </c>
      <c r="AR108" s="206">
        <f t="shared" si="92"/>
        <v>0.88447929873185172</v>
      </c>
      <c r="AS108" s="71">
        <f t="shared" si="93"/>
        <v>0.19999999999999998</v>
      </c>
      <c r="AT108" s="74">
        <f t="shared" si="94"/>
        <v>3.96E-5</v>
      </c>
      <c r="AU108" s="73">
        <f t="shared" si="73"/>
        <v>14.153202270082538</v>
      </c>
      <c r="AV108" s="71">
        <f t="shared" si="74"/>
        <v>212.10000000000002</v>
      </c>
      <c r="AW108" s="74">
        <f t="shared" si="75"/>
        <v>93.74452952352577</v>
      </c>
    </row>
    <row r="109" spans="17:49" x14ac:dyDescent="0.25">
      <c r="Q109">
        <v>102</v>
      </c>
      <c r="R109" s="73">
        <f t="shared" si="49"/>
        <v>21</v>
      </c>
      <c r="S109" s="71">
        <f t="shared" si="79"/>
        <v>10.200000000000001</v>
      </c>
      <c r="T109" s="71">
        <f t="shared" si="51"/>
        <v>12</v>
      </c>
      <c r="U109" s="74">
        <f t="shared" si="80"/>
        <v>17.850000000000001</v>
      </c>
      <c r="V109" s="73">
        <f>IF(Variable_Management!$B$20=3,2,IF((S109*R109/T109)&lt;((T109*(1-(T109/R109)))/(2*Lm*Fsw)),1,2))</f>
        <v>2</v>
      </c>
      <c r="W109" s="71">
        <f t="shared" si="81"/>
        <v>0.4285714285714286</v>
      </c>
      <c r="X109" s="74">
        <f t="shared" si="82"/>
        <v>0.5714285714285714</v>
      </c>
      <c r="Y109" s="73">
        <f t="shared" si="83"/>
        <v>2.5714285714285716</v>
      </c>
      <c r="Z109" s="71">
        <f t="shared" si="77"/>
        <v>19.135714285714286</v>
      </c>
      <c r="AA109" s="71">
        <f t="shared" si="78"/>
        <v>17.865428077943257</v>
      </c>
      <c r="AB109" s="71">
        <v>0</v>
      </c>
      <c r="AC109" s="71">
        <f t="shared" si="84"/>
        <v>0.44045945816326537</v>
      </c>
      <c r="AD109" s="74">
        <f t="shared" si="67"/>
        <v>0.44045945816326537</v>
      </c>
      <c r="AE109" s="73">
        <f t="shared" si="76"/>
        <v>7.6500000000000012</v>
      </c>
      <c r="AF109" s="71">
        <f t="shared" si="68"/>
        <v>11.695668069994914</v>
      </c>
      <c r="AG109" s="71">
        <f t="shared" si="85"/>
        <v>1.2037401341107874</v>
      </c>
      <c r="AH109" s="71">
        <f t="shared" si="86"/>
        <v>7.0045992670106578</v>
      </c>
      <c r="AI109" s="74">
        <f t="shared" si="69"/>
        <v>8.2083394011214459</v>
      </c>
      <c r="AJ109" s="73">
        <f t="shared" si="70"/>
        <v>10.200000000000001</v>
      </c>
      <c r="AK109" s="71">
        <f t="shared" si="87"/>
        <v>13.504994217128148</v>
      </c>
      <c r="AL109" s="71">
        <f t="shared" si="88"/>
        <v>1.6049868454810499</v>
      </c>
      <c r="AM109" s="71">
        <f t="shared" si="95"/>
        <v>1.4388000000000003</v>
      </c>
      <c r="AN109" s="188">
        <f t="shared" si="89"/>
        <v>0.61234285714285719</v>
      </c>
      <c r="AO109" s="74">
        <f t="shared" si="72"/>
        <v>3.6561297026239075</v>
      </c>
      <c r="AP109" s="73">
        <f t="shared" si="90"/>
        <v>0.47876028061224496</v>
      </c>
      <c r="AQ109" s="206">
        <f t="shared" si="91"/>
        <v>0.44045945816326537</v>
      </c>
      <c r="AR109" s="206">
        <f t="shared" si="92"/>
        <v>0.88447929873185172</v>
      </c>
      <c r="AS109" s="71">
        <f t="shared" si="93"/>
        <v>0.19999999999999998</v>
      </c>
      <c r="AT109" s="74">
        <f t="shared" si="94"/>
        <v>3.96E-5</v>
      </c>
      <c r="AU109" s="73">
        <f t="shared" si="73"/>
        <v>14.308667199415982</v>
      </c>
      <c r="AV109" s="71">
        <f t="shared" si="74"/>
        <v>214.20000000000002</v>
      </c>
      <c r="AW109" s="74">
        <f t="shared" si="75"/>
        <v>93.738238739570861</v>
      </c>
    </row>
    <row r="110" spans="17:49" x14ac:dyDescent="0.25">
      <c r="Q110">
        <v>103</v>
      </c>
      <c r="R110" s="73">
        <f t="shared" si="49"/>
        <v>21</v>
      </c>
      <c r="S110" s="71">
        <f t="shared" si="79"/>
        <v>10.3</v>
      </c>
      <c r="T110" s="71">
        <f t="shared" si="51"/>
        <v>12</v>
      </c>
      <c r="U110" s="74">
        <f t="shared" si="80"/>
        <v>18.025000000000002</v>
      </c>
      <c r="V110" s="73">
        <f>IF(Variable_Management!$B$20=3,2,IF((S110*R110/T110)&lt;((T110*(1-(T110/R110)))/(2*Lm*Fsw)),1,2))</f>
        <v>2</v>
      </c>
      <c r="W110" s="71">
        <f t="shared" si="81"/>
        <v>0.4285714285714286</v>
      </c>
      <c r="X110" s="74">
        <f t="shared" si="82"/>
        <v>0.5714285714285714</v>
      </c>
      <c r="Y110" s="73">
        <f t="shared" si="83"/>
        <v>2.5714285714285716</v>
      </c>
      <c r="Z110" s="71">
        <f t="shared" si="77"/>
        <v>19.310714285714287</v>
      </c>
      <c r="AA110" s="71">
        <f t="shared" si="78"/>
        <v>18.040278418255173</v>
      </c>
      <c r="AB110" s="71">
        <v>0</v>
      </c>
      <c r="AC110" s="71">
        <f t="shared" si="84"/>
        <v>0.44912327066326541</v>
      </c>
      <c r="AD110" s="74">
        <f t="shared" si="67"/>
        <v>0.44912327066326541</v>
      </c>
      <c r="AE110" s="73">
        <f t="shared" si="76"/>
        <v>7.7250000000000014</v>
      </c>
      <c r="AF110" s="71">
        <f t="shared" si="68"/>
        <v>11.810134487104648</v>
      </c>
      <c r="AG110" s="71">
        <f t="shared" si="85"/>
        <v>1.2274176341107874</v>
      </c>
      <c r="AH110" s="71">
        <f t="shared" si="86"/>
        <v>7.0732718088440976</v>
      </c>
      <c r="AI110" s="74">
        <f t="shared" si="69"/>
        <v>8.3006894429548854</v>
      </c>
      <c r="AJ110" s="73">
        <f t="shared" si="70"/>
        <v>10.3</v>
      </c>
      <c r="AK110" s="71">
        <f t="shared" si="87"/>
        <v>13.637168650591102</v>
      </c>
      <c r="AL110" s="71">
        <f t="shared" si="88"/>
        <v>1.6365568454810497</v>
      </c>
      <c r="AM110" s="71">
        <f t="shared" si="95"/>
        <v>1.4388000000000003</v>
      </c>
      <c r="AN110" s="188">
        <f t="shared" si="89"/>
        <v>0.61794285714285724</v>
      </c>
      <c r="AO110" s="74">
        <f t="shared" si="72"/>
        <v>3.6932997026239072</v>
      </c>
      <c r="AP110" s="73">
        <f t="shared" si="90"/>
        <v>0.48817746811224505</v>
      </c>
      <c r="AQ110" s="206">
        <f t="shared" si="91"/>
        <v>0.44912327066326541</v>
      </c>
      <c r="AR110" s="206">
        <f t="shared" si="92"/>
        <v>0.88447929873185172</v>
      </c>
      <c r="AS110" s="71">
        <f t="shared" si="93"/>
        <v>0.19999999999999998</v>
      </c>
      <c r="AT110" s="74">
        <f t="shared" si="94"/>
        <v>3.96E-5</v>
      </c>
      <c r="AU110" s="73">
        <f t="shared" si="73"/>
        <v>14.464932053749422</v>
      </c>
      <c r="AV110" s="71">
        <f t="shared" si="74"/>
        <v>216.3</v>
      </c>
      <c r="AW110" s="74">
        <f t="shared" si="75"/>
        <v>93.731746013133289</v>
      </c>
    </row>
    <row r="111" spans="17:49" x14ac:dyDescent="0.25">
      <c r="Q111">
        <v>104</v>
      </c>
      <c r="R111" s="73">
        <f t="shared" si="49"/>
        <v>21</v>
      </c>
      <c r="S111" s="71">
        <f t="shared" si="79"/>
        <v>10.4</v>
      </c>
      <c r="T111" s="71">
        <f t="shared" si="51"/>
        <v>12</v>
      </c>
      <c r="U111" s="74">
        <f t="shared" si="80"/>
        <v>18.2</v>
      </c>
      <c r="V111" s="73">
        <f>IF(Variable_Management!$B$20=3,2,IF((S111*R111/T111)&lt;((T111*(1-(T111/R111)))/(2*Lm*Fsw)),1,2))</f>
        <v>2</v>
      </c>
      <c r="W111" s="71">
        <f t="shared" si="81"/>
        <v>0.4285714285714286</v>
      </c>
      <c r="X111" s="74">
        <f t="shared" si="82"/>
        <v>0.5714285714285714</v>
      </c>
      <c r="Y111" s="73">
        <f t="shared" si="83"/>
        <v>2.5714285714285716</v>
      </c>
      <c r="Z111" s="71">
        <f t="shared" si="77"/>
        <v>19.485714285714284</v>
      </c>
      <c r="AA111" s="71">
        <f t="shared" si="78"/>
        <v>18.21513163301773</v>
      </c>
      <c r="AB111" s="71">
        <v>0</v>
      </c>
      <c r="AC111" s="71">
        <f t="shared" si="84"/>
        <v>0.45787160816326511</v>
      </c>
      <c r="AD111" s="74">
        <f t="shared" si="67"/>
        <v>0.45787160816326511</v>
      </c>
      <c r="AE111" s="73">
        <f t="shared" si="76"/>
        <v>7.8000000000000007</v>
      </c>
      <c r="AF111" s="71">
        <f t="shared" si="68"/>
        <v>11.924602785984048</v>
      </c>
      <c r="AG111" s="71">
        <f t="shared" si="85"/>
        <v>1.2513261341107871</v>
      </c>
      <c r="AH111" s="71">
        <f t="shared" si="86"/>
        <v>7.1419443506775337</v>
      </c>
      <c r="AI111" s="74">
        <f t="shared" si="69"/>
        <v>8.3932704847883208</v>
      </c>
      <c r="AJ111" s="73">
        <f t="shared" si="70"/>
        <v>10.399999999999999</v>
      </c>
      <c r="AK111" s="71">
        <f t="shared" si="87"/>
        <v>13.769345256934503</v>
      </c>
      <c r="AL111" s="71">
        <f t="shared" si="88"/>
        <v>1.6684348454810496</v>
      </c>
      <c r="AM111" s="71">
        <f t="shared" si="95"/>
        <v>1.4388000000000003</v>
      </c>
      <c r="AN111" s="188">
        <f t="shared" si="89"/>
        <v>0.62354285714285707</v>
      </c>
      <c r="AO111" s="74">
        <f t="shared" si="72"/>
        <v>3.7307777026239068</v>
      </c>
      <c r="AP111" s="73">
        <f t="shared" si="90"/>
        <v>0.49768653061224472</v>
      </c>
      <c r="AQ111" s="206">
        <f t="shared" si="91"/>
        <v>0.45787160816326511</v>
      </c>
      <c r="AR111" s="206">
        <f t="shared" si="92"/>
        <v>0.88447929873185172</v>
      </c>
      <c r="AS111" s="71">
        <f t="shared" si="93"/>
        <v>0.19999999999999998</v>
      </c>
      <c r="AT111" s="74">
        <f t="shared" si="94"/>
        <v>3.96E-5</v>
      </c>
      <c r="AU111" s="73">
        <f t="shared" si="73"/>
        <v>14.621996833082854</v>
      </c>
      <c r="AV111" s="71">
        <f t="shared" si="74"/>
        <v>218.4</v>
      </c>
      <c r="AW111" s="74">
        <f t="shared" si="75"/>
        <v>93.725057277078946</v>
      </c>
    </row>
    <row r="112" spans="17:49" x14ac:dyDescent="0.25">
      <c r="Q112">
        <v>105</v>
      </c>
      <c r="R112" s="73">
        <f t="shared" si="49"/>
        <v>21</v>
      </c>
      <c r="S112" s="71">
        <f t="shared" si="79"/>
        <v>10.5</v>
      </c>
      <c r="T112" s="71">
        <f t="shared" si="51"/>
        <v>12</v>
      </c>
      <c r="U112" s="74">
        <f t="shared" si="80"/>
        <v>18.375</v>
      </c>
      <c r="V112" s="73">
        <f>IF(Variable_Management!$B$20=3,2,IF((S112*R112/T112)&lt;((T112*(1-(T112/R112)))/(2*Lm*Fsw)),1,2))</f>
        <v>2</v>
      </c>
      <c r="W112" s="71">
        <f t="shared" si="81"/>
        <v>0.4285714285714286</v>
      </c>
      <c r="X112" s="74">
        <f t="shared" si="82"/>
        <v>0.5714285714285714</v>
      </c>
      <c r="Y112" s="73">
        <f t="shared" si="83"/>
        <v>2.5714285714285716</v>
      </c>
      <c r="Z112" s="71">
        <f t="shared" si="77"/>
        <v>19.660714285714285</v>
      </c>
      <c r="AA112" s="71">
        <f t="shared" si="78"/>
        <v>18.389987640239546</v>
      </c>
      <c r="AB112" s="71">
        <v>0</v>
      </c>
      <c r="AC112" s="71">
        <f t="shared" si="84"/>
        <v>0.46670447066326526</v>
      </c>
      <c r="AD112" s="74">
        <f t="shared" si="67"/>
        <v>0.46670447066326526</v>
      </c>
      <c r="AE112" s="73">
        <f t="shared" si="76"/>
        <v>7.8750000000000009</v>
      </c>
      <c r="AF112" s="71">
        <f t="shared" si="68"/>
        <v>12.039072912957149</v>
      </c>
      <c r="AG112" s="71">
        <f t="shared" si="85"/>
        <v>1.2754656341107873</v>
      </c>
      <c r="AH112" s="71">
        <f t="shared" si="86"/>
        <v>7.2106168925109717</v>
      </c>
      <c r="AI112" s="74">
        <f t="shared" si="69"/>
        <v>8.4860825266217592</v>
      </c>
      <c r="AJ112" s="73">
        <f t="shared" si="70"/>
        <v>10.5</v>
      </c>
      <c r="AK112" s="71">
        <f t="shared" si="87"/>
        <v>13.901523974178684</v>
      </c>
      <c r="AL112" s="71">
        <f t="shared" si="88"/>
        <v>1.7006208454810496</v>
      </c>
      <c r="AM112" s="71">
        <f t="shared" si="95"/>
        <v>1.4388000000000003</v>
      </c>
      <c r="AN112" s="188">
        <f t="shared" si="89"/>
        <v>0.62914285714285711</v>
      </c>
      <c r="AO112" s="74">
        <f t="shared" si="72"/>
        <v>3.7685637026239069</v>
      </c>
      <c r="AP112" s="73">
        <f t="shared" si="90"/>
        <v>0.5072874681122449</v>
      </c>
      <c r="AQ112" s="206">
        <f t="shared" si="91"/>
        <v>0.46670447066326526</v>
      </c>
      <c r="AR112" s="206">
        <f t="shared" si="92"/>
        <v>0.88447929873185172</v>
      </c>
      <c r="AS112" s="71">
        <f t="shared" si="93"/>
        <v>0.19999999999999998</v>
      </c>
      <c r="AT112" s="74">
        <f t="shared" si="94"/>
        <v>3.96E-5</v>
      </c>
      <c r="AU112" s="73">
        <f t="shared" si="73"/>
        <v>14.779861537416291</v>
      </c>
      <c r="AV112" s="71">
        <f t="shared" si="74"/>
        <v>220.5</v>
      </c>
      <c r="AW112" s="74">
        <f t="shared" si="75"/>
        <v>93.718178240654112</v>
      </c>
    </row>
    <row r="113" spans="17:49" x14ac:dyDescent="0.25">
      <c r="Q113">
        <v>106</v>
      </c>
      <c r="R113" s="73">
        <f t="shared" si="49"/>
        <v>21</v>
      </c>
      <c r="S113" s="71">
        <f t="shared" si="79"/>
        <v>10.600000000000001</v>
      </c>
      <c r="T113" s="71">
        <f t="shared" si="51"/>
        <v>12</v>
      </c>
      <c r="U113" s="74">
        <f t="shared" si="80"/>
        <v>18.55</v>
      </c>
      <c r="V113" s="73">
        <f>IF(Variable_Management!$B$20=3,2,IF((S113*R113/T113)&lt;((T113*(1-(T113/R113)))/(2*Lm*Fsw)),1,2))</f>
        <v>2</v>
      </c>
      <c r="W113" s="71">
        <f t="shared" si="81"/>
        <v>0.4285714285714286</v>
      </c>
      <c r="X113" s="74">
        <f t="shared" si="82"/>
        <v>0.5714285714285714</v>
      </c>
      <c r="Y113" s="73">
        <f t="shared" si="83"/>
        <v>2.5714285714285716</v>
      </c>
      <c r="Z113" s="71">
        <f t="shared" si="77"/>
        <v>19.835714285714285</v>
      </c>
      <c r="AA113" s="71">
        <f t="shared" si="78"/>
        <v>18.564846361016922</v>
      </c>
      <c r="AB113" s="71">
        <v>0</v>
      </c>
      <c r="AC113" s="71">
        <f t="shared" si="84"/>
        <v>0.4756218581632653</v>
      </c>
      <c r="AD113" s="74">
        <f t="shared" si="67"/>
        <v>0.4756218581632653</v>
      </c>
      <c r="AE113" s="73">
        <f t="shared" si="76"/>
        <v>7.9500000000000011</v>
      </c>
      <c r="AF113" s="71">
        <f t="shared" si="68"/>
        <v>12.15354481636936</v>
      </c>
      <c r="AG113" s="71">
        <f t="shared" si="85"/>
        <v>1.2998361341107871</v>
      </c>
      <c r="AH113" s="71">
        <f t="shared" si="86"/>
        <v>7.2792894343444097</v>
      </c>
      <c r="AI113" s="74">
        <f t="shared" si="69"/>
        <v>8.579125568455197</v>
      </c>
      <c r="AJ113" s="73">
        <f t="shared" si="70"/>
        <v>10.6</v>
      </c>
      <c r="AK113" s="71">
        <f t="shared" si="87"/>
        <v>14.03370474267806</v>
      </c>
      <c r="AL113" s="71">
        <f t="shared" si="88"/>
        <v>1.733114845481049</v>
      </c>
      <c r="AM113" s="71">
        <f t="shared" si="95"/>
        <v>1.4388000000000003</v>
      </c>
      <c r="AN113" s="188">
        <f t="shared" si="89"/>
        <v>0.63474285714285716</v>
      </c>
      <c r="AO113" s="74">
        <f t="shared" si="72"/>
        <v>3.8066577026239066</v>
      </c>
      <c r="AP113" s="73">
        <f t="shared" si="90"/>
        <v>0.51698028061224488</v>
      </c>
      <c r="AQ113" s="206">
        <f t="shared" si="91"/>
        <v>0.4756218581632653</v>
      </c>
      <c r="AR113" s="206">
        <f t="shared" si="92"/>
        <v>0.88447929873185172</v>
      </c>
      <c r="AS113" s="71">
        <f t="shared" si="93"/>
        <v>0.19999999999999998</v>
      </c>
      <c r="AT113" s="74">
        <f t="shared" si="94"/>
        <v>3.96E-5</v>
      </c>
      <c r="AU113" s="73">
        <f t="shared" si="73"/>
        <v>14.93852616674973</v>
      </c>
      <c r="AV113" s="71">
        <f t="shared" si="74"/>
        <v>222.60000000000002</v>
      </c>
      <c r="AW113" s="74">
        <f t="shared" si="75"/>
        <v>93.711114399917165</v>
      </c>
    </row>
    <row r="114" spans="17:49" x14ac:dyDescent="0.25">
      <c r="Q114">
        <v>107</v>
      </c>
      <c r="R114" s="73">
        <f t="shared" si="49"/>
        <v>21</v>
      </c>
      <c r="S114" s="71">
        <f t="shared" si="79"/>
        <v>10.700000000000001</v>
      </c>
      <c r="T114" s="71">
        <f t="shared" si="51"/>
        <v>12</v>
      </c>
      <c r="U114" s="74">
        <f t="shared" si="80"/>
        <v>18.725000000000001</v>
      </c>
      <c r="V114" s="73">
        <f>IF(Variable_Management!$B$20=3,2,IF((S114*R114/T114)&lt;((T114*(1-(T114/R114)))/(2*Lm*Fsw)),1,2))</f>
        <v>2</v>
      </c>
      <c r="W114" s="71">
        <f t="shared" si="81"/>
        <v>0.4285714285714286</v>
      </c>
      <c r="X114" s="74">
        <f t="shared" si="82"/>
        <v>0.5714285714285714</v>
      </c>
      <c r="Y114" s="73">
        <f t="shared" si="83"/>
        <v>2.5714285714285716</v>
      </c>
      <c r="Z114" s="71">
        <f t="shared" si="77"/>
        <v>20.010714285714286</v>
      </c>
      <c r="AA114" s="71">
        <f t="shared" si="78"/>
        <v>18.739707719389951</v>
      </c>
      <c r="AB114" s="71">
        <v>0</v>
      </c>
      <c r="AC114" s="71">
        <f t="shared" si="84"/>
        <v>0.48462377066326534</v>
      </c>
      <c r="AD114" s="74">
        <f t="shared" si="67"/>
        <v>0.48462377066326534</v>
      </c>
      <c r="AE114" s="73">
        <f t="shared" si="76"/>
        <v>8.0250000000000004</v>
      </c>
      <c r="AF114" s="71">
        <f t="shared" si="68"/>
        <v>12.268018446493246</v>
      </c>
      <c r="AG114" s="71">
        <f t="shared" si="85"/>
        <v>1.3244376341107873</v>
      </c>
      <c r="AH114" s="71">
        <f t="shared" si="86"/>
        <v>7.3479619761778476</v>
      </c>
      <c r="AI114" s="74">
        <f t="shared" si="69"/>
        <v>8.6723996102886343</v>
      </c>
      <c r="AJ114" s="73">
        <f t="shared" si="70"/>
        <v>10.700000000000001</v>
      </c>
      <c r="AK114" s="71">
        <f t="shared" si="87"/>
        <v>14.165887505012339</v>
      </c>
      <c r="AL114" s="71">
        <f t="shared" si="88"/>
        <v>1.7659168454810497</v>
      </c>
      <c r="AM114" s="71">
        <f t="shared" si="95"/>
        <v>1.4388000000000003</v>
      </c>
      <c r="AN114" s="188">
        <f t="shared" si="89"/>
        <v>0.64034285714285721</v>
      </c>
      <c r="AO114" s="74">
        <f t="shared" si="72"/>
        <v>3.8450597026239071</v>
      </c>
      <c r="AP114" s="73">
        <f t="shared" si="90"/>
        <v>0.52676496811224505</v>
      </c>
      <c r="AQ114" s="206">
        <f t="shared" si="91"/>
        <v>0.48462377066326534</v>
      </c>
      <c r="AR114" s="206">
        <f t="shared" si="92"/>
        <v>0.88447929873185172</v>
      </c>
      <c r="AS114" s="71">
        <f t="shared" si="93"/>
        <v>0.19999999999999998</v>
      </c>
      <c r="AT114" s="74">
        <f t="shared" si="94"/>
        <v>3.96E-5</v>
      </c>
      <c r="AU114" s="73">
        <f t="shared" si="73"/>
        <v>15.097990721083168</v>
      </c>
      <c r="AV114" s="71">
        <f t="shared" si="74"/>
        <v>224.70000000000002</v>
      </c>
      <c r="AW114" s="74">
        <f t="shared" si="75"/>
        <v>93.703871047591832</v>
      </c>
    </row>
    <row r="115" spans="17:49" x14ac:dyDescent="0.25">
      <c r="Q115">
        <v>108</v>
      </c>
      <c r="R115" s="73">
        <f t="shared" si="49"/>
        <v>21</v>
      </c>
      <c r="S115" s="71">
        <f t="shared" si="79"/>
        <v>10.8</v>
      </c>
      <c r="T115" s="71">
        <f t="shared" si="51"/>
        <v>12</v>
      </c>
      <c r="U115" s="74">
        <f t="shared" si="80"/>
        <v>18.900000000000002</v>
      </c>
      <c r="V115" s="73">
        <f>IF(Variable_Management!$B$20=3,2,IF((S115*R115/T115)&lt;((T115*(1-(T115/R115)))/(2*Lm*Fsw)),1,2))</f>
        <v>2</v>
      </c>
      <c r="W115" s="71">
        <f t="shared" si="81"/>
        <v>0.4285714285714286</v>
      </c>
      <c r="X115" s="74">
        <f t="shared" si="82"/>
        <v>0.5714285714285714</v>
      </c>
      <c r="Y115" s="73">
        <f t="shared" si="83"/>
        <v>2.5714285714285716</v>
      </c>
      <c r="Z115" s="71">
        <f t="shared" si="77"/>
        <v>20.185714285714287</v>
      </c>
      <c r="AA115" s="71">
        <f t="shared" si="78"/>
        <v>18.914571642206528</v>
      </c>
      <c r="AB115" s="71">
        <v>0</v>
      </c>
      <c r="AC115" s="71">
        <f t="shared" si="84"/>
        <v>0.49371020816326538</v>
      </c>
      <c r="AD115" s="74">
        <f t="shared" si="67"/>
        <v>0.49371020816326538</v>
      </c>
      <c r="AE115" s="73">
        <f t="shared" si="76"/>
        <v>8.1000000000000014</v>
      </c>
      <c r="AF115" s="71">
        <f t="shared" si="68"/>
        <v>12.382493755439514</v>
      </c>
      <c r="AG115" s="71">
        <f t="shared" si="85"/>
        <v>1.3492701341107873</v>
      </c>
      <c r="AH115" s="71">
        <f t="shared" si="86"/>
        <v>7.4166345180112865</v>
      </c>
      <c r="AI115" s="74">
        <f t="shared" si="69"/>
        <v>8.7659046521220745</v>
      </c>
      <c r="AJ115" s="73">
        <f t="shared" si="70"/>
        <v>10.8</v>
      </c>
      <c r="AK115" s="71">
        <f t="shared" si="87"/>
        <v>14.298072205883726</v>
      </c>
      <c r="AL115" s="71">
        <f t="shared" si="88"/>
        <v>1.7990268454810496</v>
      </c>
      <c r="AM115" s="71">
        <f t="shared" si="95"/>
        <v>1.4388000000000003</v>
      </c>
      <c r="AN115" s="188">
        <f t="shared" si="89"/>
        <v>0.64594285714285715</v>
      </c>
      <c r="AO115" s="74">
        <f t="shared" si="72"/>
        <v>3.8837697026239066</v>
      </c>
      <c r="AP115" s="73">
        <f t="shared" si="90"/>
        <v>0.53664153061224507</v>
      </c>
      <c r="AQ115" s="206">
        <f t="shared" si="91"/>
        <v>0.49371020816326538</v>
      </c>
      <c r="AR115" s="206">
        <f t="shared" si="92"/>
        <v>0.88447929873185172</v>
      </c>
      <c r="AS115" s="71">
        <f t="shared" si="93"/>
        <v>0.19999999999999998</v>
      </c>
      <c r="AT115" s="74">
        <f t="shared" si="94"/>
        <v>3.96E-5</v>
      </c>
      <c r="AU115" s="73">
        <f t="shared" si="73"/>
        <v>15.258255200416608</v>
      </c>
      <c r="AV115" s="71">
        <f t="shared" si="74"/>
        <v>226.8</v>
      </c>
      <c r="AW115" s="74">
        <f t="shared" si="75"/>
        <v>93.696453282378968</v>
      </c>
    </row>
    <row r="116" spans="17:49" x14ac:dyDescent="0.25">
      <c r="Q116">
        <v>109</v>
      </c>
      <c r="R116" s="73">
        <f t="shared" si="49"/>
        <v>21</v>
      </c>
      <c r="S116" s="71">
        <f t="shared" si="79"/>
        <v>10.9</v>
      </c>
      <c r="T116" s="71">
        <f t="shared" si="51"/>
        <v>12</v>
      </c>
      <c r="U116" s="74">
        <f t="shared" si="80"/>
        <v>19.074999999999999</v>
      </c>
      <c r="V116" s="73">
        <f>IF(Variable_Management!$B$20=3,2,IF((S116*R116/T116)&lt;((T116*(1-(T116/R116)))/(2*Lm*Fsw)),1,2))</f>
        <v>2</v>
      </c>
      <c r="W116" s="71">
        <f t="shared" si="81"/>
        <v>0.4285714285714286</v>
      </c>
      <c r="X116" s="74">
        <f t="shared" si="82"/>
        <v>0.5714285714285714</v>
      </c>
      <c r="Y116" s="73">
        <f t="shared" si="83"/>
        <v>2.5714285714285716</v>
      </c>
      <c r="Z116" s="71">
        <f t="shared" si="77"/>
        <v>20.360714285714284</v>
      </c>
      <c r="AA116" s="71">
        <f t="shared" si="78"/>
        <v>19.08943805899386</v>
      </c>
      <c r="AB116" s="71">
        <v>0</v>
      </c>
      <c r="AC116" s="71">
        <f t="shared" si="84"/>
        <v>0.50288117066326532</v>
      </c>
      <c r="AD116" s="74">
        <f t="shared" si="67"/>
        <v>0.50288117066326532</v>
      </c>
      <c r="AE116" s="73">
        <f t="shared" si="76"/>
        <v>8.1750000000000007</v>
      </c>
      <c r="AF116" s="71">
        <f t="shared" si="68"/>
        <v>12.496970697072893</v>
      </c>
      <c r="AG116" s="71">
        <f t="shared" si="85"/>
        <v>1.3743336341107875</v>
      </c>
      <c r="AH116" s="71">
        <f t="shared" si="86"/>
        <v>7.4853070598447227</v>
      </c>
      <c r="AI116" s="74">
        <f t="shared" si="69"/>
        <v>8.8596406939555106</v>
      </c>
      <c r="AJ116" s="73">
        <f t="shared" si="70"/>
        <v>10.899999999999999</v>
      </c>
      <c r="AK116" s="71">
        <f t="shared" si="87"/>
        <v>14.430258792019799</v>
      </c>
      <c r="AL116" s="71">
        <f t="shared" si="88"/>
        <v>1.8324448454810498</v>
      </c>
      <c r="AM116" s="71">
        <f t="shared" si="95"/>
        <v>1.4388000000000003</v>
      </c>
      <c r="AN116" s="188">
        <f t="shared" si="89"/>
        <v>0.65154285714285709</v>
      </c>
      <c r="AO116" s="74">
        <f t="shared" si="72"/>
        <v>3.9227877026239071</v>
      </c>
      <c r="AP116" s="73">
        <f t="shared" si="90"/>
        <v>0.54660996811224494</v>
      </c>
      <c r="AQ116" s="206">
        <f t="shared" si="91"/>
        <v>0.50288117066326532</v>
      </c>
      <c r="AR116" s="206">
        <f t="shared" si="92"/>
        <v>0.88447929873185172</v>
      </c>
      <c r="AS116" s="71">
        <f t="shared" si="93"/>
        <v>0.19999999999999998</v>
      </c>
      <c r="AT116" s="74">
        <f t="shared" si="94"/>
        <v>3.96E-5</v>
      </c>
      <c r="AU116" s="73">
        <f t="shared" si="73"/>
        <v>15.419319604750044</v>
      </c>
      <c r="AV116" s="71">
        <f t="shared" si="74"/>
        <v>228.9</v>
      </c>
      <c r="AW116" s="74">
        <f t="shared" si="75"/>
        <v>93.688866017761185</v>
      </c>
    </row>
    <row r="117" spans="17:49" x14ac:dyDescent="0.25">
      <c r="Q117">
        <v>110</v>
      </c>
      <c r="R117" s="73">
        <f t="shared" si="49"/>
        <v>21</v>
      </c>
      <c r="S117" s="71">
        <f t="shared" si="79"/>
        <v>11</v>
      </c>
      <c r="T117" s="71">
        <f t="shared" si="51"/>
        <v>12</v>
      </c>
      <c r="U117" s="74">
        <f t="shared" si="80"/>
        <v>19.25</v>
      </c>
      <c r="V117" s="73">
        <f>IF(Variable_Management!$B$20=3,2,IF((S117*R117/T117)&lt;((T117*(1-(T117/R117)))/(2*Lm*Fsw)),1,2))</f>
        <v>2</v>
      </c>
      <c r="W117" s="71">
        <f t="shared" si="81"/>
        <v>0.4285714285714286</v>
      </c>
      <c r="X117" s="74">
        <f t="shared" si="82"/>
        <v>0.5714285714285714</v>
      </c>
      <c r="Y117" s="73">
        <f t="shared" si="83"/>
        <v>2.5714285714285716</v>
      </c>
      <c r="Z117" s="71">
        <f t="shared" si="77"/>
        <v>20.535714285714285</v>
      </c>
      <c r="AA117" s="71">
        <f t="shared" si="78"/>
        <v>19.264306901836964</v>
      </c>
      <c r="AB117" s="71">
        <v>0</v>
      </c>
      <c r="AC117" s="71">
        <f t="shared" si="84"/>
        <v>0.51213665816326526</v>
      </c>
      <c r="AD117" s="74">
        <f t="shared" si="67"/>
        <v>0.51213665816326526</v>
      </c>
      <c r="AE117" s="73">
        <f t="shared" si="76"/>
        <v>8.25</v>
      </c>
      <c r="AF117" s="71">
        <f t="shared" si="68"/>
        <v>12.611449226932587</v>
      </c>
      <c r="AG117" s="71">
        <f t="shared" si="85"/>
        <v>1.3996281341107872</v>
      </c>
      <c r="AH117" s="71">
        <f t="shared" si="86"/>
        <v>7.5539796016781606</v>
      </c>
      <c r="AI117" s="74">
        <f t="shared" si="69"/>
        <v>8.9536077357889479</v>
      </c>
      <c r="AJ117" s="73">
        <f t="shared" si="70"/>
        <v>11</v>
      </c>
      <c r="AK117" s="71">
        <f t="shared" si="87"/>
        <v>14.562447212081652</v>
      </c>
      <c r="AL117" s="71">
        <f t="shared" si="88"/>
        <v>1.8661708454810493</v>
      </c>
      <c r="AM117" s="71">
        <f t="shared" si="95"/>
        <v>1.4388000000000003</v>
      </c>
      <c r="AN117" s="188">
        <f t="shared" si="89"/>
        <v>0.65714285714285714</v>
      </c>
      <c r="AO117" s="74">
        <f t="shared" si="72"/>
        <v>3.9621137026239066</v>
      </c>
      <c r="AP117" s="73">
        <f t="shared" si="90"/>
        <v>0.55667028061224488</v>
      </c>
      <c r="AQ117" s="206">
        <f t="shared" si="91"/>
        <v>0.51213665816326526</v>
      </c>
      <c r="AR117" s="206">
        <f t="shared" si="92"/>
        <v>0.88447929873185172</v>
      </c>
      <c r="AS117" s="71">
        <f t="shared" si="93"/>
        <v>0.19999999999999998</v>
      </c>
      <c r="AT117" s="74">
        <f t="shared" si="94"/>
        <v>3.96E-5</v>
      </c>
      <c r="AU117" s="73">
        <f t="shared" si="73"/>
        <v>15.581183934083482</v>
      </c>
      <c r="AV117" s="71">
        <f t="shared" si="74"/>
        <v>231</v>
      </c>
      <c r="AW117" s="74">
        <f t="shared" si="75"/>
        <v>93.68111399033242</v>
      </c>
    </row>
    <row r="118" spans="17:49" x14ac:dyDescent="0.25">
      <c r="Q118">
        <v>111</v>
      </c>
      <c r="R118" s="73">
        <f t="shared" si="49"/>
        <v>21</v>
      </c>
      <c r="S118" s="71">
        <f t="shared" si="79"/>
        <v>11.100000000000001</v>
      </c>
      <c r="T118" s="71">
        <f t="shared" si="51"/>
        <v>12</v>
      </c>
      <c r="U118" s="74">
        <f t="shared" si="80"/>
        <v>19.425000000000001</v>
      </c>
      <c r="V118" s="73">
        <f>IF(Variable_Management!$B$20=3,2,IF((S118*R118/T118)&lt;((T118*(1-(T118/R118)))/(2*Lm*Fsw)),1,2))</f>
        <v>2</v>
      </c>
      <c r="W118" s="71">
        <f t="shared" si="81"/>
        <v>0.4285714285714286</v>
      </c>
      <c r="X118" s="74">
        <f t="shared" si="82"/>
        <v>0.5714285714285714</v>
      </c>
      <c r="Y118" s="73">
        <f t="shared" si="83"/>
        <v>2.5714285714285716</v>
      </c>
      <c r="Z118" s="71">
        <f t="shared" si="77"/>
        <v>20.710714285714285</v>
      </c>
      <c r="AA118" s="71">
        <f t="shared" si="78"/>
        <v>19.439178105263693</v>
      </c>
      <c r="AB118" s="71">
        <v>0</v>
      </c>
      <c r="AC118" s="71">
        <f t="shared" si="84"/>
        <v>0.52147667066326542</v>
      </c>
      <c r="AD118" s="74">
        <f t="shared" si="67"/>
        <v>0.52147667066326542</v>
      </c>
      <c r="AE118" s="73">
        <f t="shared" si="76"/>
        <v>8.3250000000000011</v>
      </c>
      <c r="AF118" s="71">
        <f t="shared" si="68"/>
        <v>12.725929302157017</v>
      </c>
      <c r="AG118" s="71">
        <f t="shared" si="85"/>
        <v>1.4251536341107873</v>
      </c>
      <c r="AH118" s="71">
        <f t="shared" si="86"/>
        <v>7.6226521435115986</v>
      </c>
      <c r="AI118" s="74">
        <f t="shared" si="69"/>
        <v>9.0478057776223864</v>
      </c>
      <c r="AJ118" s="73">
        <f t="shared" si="70"/>
        <v>11.1</v>
      </c>
      <c r="AK118" s="71">
        <f t="shared" si="87"/>
        <v>14.694637416576999</v>
      </c>
      <c r="AL118" s="71">
        <f t="shared" si="88"/>
        <v>1.9002048454810498</v>
      </c>
      <c r="AM118" s="71">
        <f t="shared" si="95"/>
        <v>1.4388000000000003</v>
      </c>
      <c r="AN118" s="188">
        <f t="shared" si="89"/>
        <v>0.66274285714285719</v>
      </c>
      <c r="AO118" s="74">
        <f t="shared" si="72"/>
        <v>4.0017477026239074</v>
      </c>
      <c r="AP118" s="73">
        <f t="shared" si="90"/>
        <v>0.56682246811224501</v>
      </c>
      <c r="AQ118" s="206">
        <f t="shared" si="91"/>
        <v>0.52147667066326542</v>
      </c>
      <c r="AR118" s="206">
        <f t="shared" si="92"/>
        <v>0.88447929873185172</v>
      </c>
      <c r="AS118" s="71">
        <f t="shared" si="93"/>
        <v>0.19999999999999998</v>
      </c>
      <c r="AT118" s="74">
        <f t="shared" si="94"/>
        <v>3.96E-5</v>
      </c>
      <c r="AU118" s="73">
        <f t="shared" si="73"/>
        <v>15.743848188416919</v>
      </c>
      <c r="AV118" s="71">
        <f t="shared" si="74"/>
        <v>233.10000000000002</v>
      </c>
      <c r="AW118" s="74">
        <f t="shared" si="75"/>
        <v>93.673201767681974</v>
      </c>
    </row>
    <row r="119" spans="17:49" x14ac:dyDescent="0.25">
      <c r="Q119">
        <v>112</v>
      </c>
      <c r="R119" s="73">
        <f t="shared" si="49"/>
        <v>21</v>
      </c>
      <c r="S119" s="71">
        <f t="shared" si="79"/>
        <v>11.200000000000001</v>
      </c>
      <c r="T119" s="71">
        <f t="shared" si="51"/>
        <v>12</v>
      </c>
      <c r="U119" s="74">
        <f t="shared" si="80"/>
        <v>19.600000000000001</v>
      </c>
      <c r="V119" s="73">
        <f>IF(Variable_Management!$B$20=3,2,IF((S119*R119/T119)&lt;((T119*(1-(T119/R119)))/(2*Lm*Fsw)),1,2))</f>
        <v>2</v>
      </c>
      <c r="W119" s="71">
        <f t="shared" si="81"/>
        <v>0.4285714285714286</v>
      </c>
      <c r="X119" s="74">
        <f t="shared" si="82"/>
        <v>0.5714285714285714</v>
      </c>
      <c r="Y119" s="73">
        <f t="shared" si="83"/>
        <v>2.5714285714285716</v>
      </c>
      <c r="Z119" s="71">
        <f t="shared" si="77"/>
        <v>20.885714285714286</v>
      </c>
      <c r="AA119" s="71">
        <f t="shared" si="78"/>
        <v>19.614051606135927</v>
      </c>
      <c r="AB119" s="71">
        <v>0</v>
      </c>
      <c r="AC119" s="71">
        <f t="shared" si="84"/>
        <v>0.53090120816326536</v>
      </c>
      <c r="AD119" s="74">
        <f t="shared" si="67"/>
        <v>0.53090120816326536</v>
      </c>
      <c r="AE119" s="73">
        <f t="shared" si="76"/>
        <v>8.4</v>
      </c>
      <c r="AF119" s="71">
        <f t="shared" si="68"/>
        <v>12.840410881412579</v>
      </c>
      <c r="AG119" s="71">
        <f t="shared" si="85"/>
        <v>1.4509101341107873</v>
      </c>
      <c r="AH119" s="71">
        <f t="shared" si="86"/>
        <v>7.6913246853450365</v>
      </c>
      <c r="AI119" s="74">
        <f t="shared" si="69"/>
        <v>9.1422348194558243</v>
      </c>
      <c r="AJ119" s="73">
        <f t="shared" si="70"/>
        <v>11.200000000000001</v>
      </c>
      <c r="AK119" s="71">
        <f t="shared" si="87"/>
        <v>14.826829357777903</v>
      </c>
      <c r="AL119" s="71">
        <f t="shared" si="88"/>
        <v>1.9345468454810497</v>
      </c>
      <c r="AM119" s="71">
        <f t="shared" si="95"/>
        <v>1.4388000000000003</v>
      </c>
      <c r="AN119" s="188">
        <f t="shared" si="89"/>
        <v>0.66834285714285713</v>
      </c>
      <c r="AO119" s="74">
        <f t="shared" si="72"/>
        <v>4.0416897026239074</v>
      </c>
      <c r="AP119" s="73">
        <f t="shared" si="90"/>
        <v>0.577066530612245</v>
      </c>
      <c r="AQ119" s="206">
        <f t="shared" si="91"/>
        <v>0.53090120816326536</v>
      </c>
      <c r="AR119" s="206">
        <f t="shared" si="92"/>
        <v>0.88447929873185172</v>
      </c>
      <c r="AS119" s="71">
        <f t="shared" si="93"/>
        <v>0.19999999999999998</v>
      </c>
      <c r="AT119" s="74">
        <f t="shared" si="94"/>
        <v>3.96E-5</v>
      </c>
      <c r="AU119" s="73">
        <f t="shared" si="73"/>
        <v>15.907312367750359</v>
      </c>
      <c r="AV119" s="71">
        <f t="shared" si="74"/>
        <v>235.20000000000002</v>
      </c>
      <c r="AW119" s="74">
        <f t="shared" si="75"/>
        <v>93.66513375586058</v>
      </c>
    </row>
    <row r="120" spans="17:49" x14ac:dyDescent="0.25">
      <c r="Q120">
        <v>113</v>
      </c>
      <c r="R120" s="73">
        <f t="shared" si="49"/>
        <v>21</v>
      </c>
      <c r="S120" s="71">
        <f t="shared" si="79"/>
        <v>11.3</v>
      </c>
      <c r="T120" s="71">
        <f t="shared" si="51"/>
        <v>12</v>
      </c>
      <c r="U120" s="74">
        <f t="shared" si="80"/>
        <v>19.775000000000002</v>
      </c>
      <c r="V120" s="73">
        <f>IF(Variable_Management!$B$20=3,2,IF((S120*R120/T120)&lt;((T120*(1-(T120/R120)))/(2*Lm*Fsw)),1,2))</f>
        <v>2</v>
      </c>
      <c r="W120" s="71">
        <f t="shared" si="81"/>
        <v>0.4285714285714286</v>
      </c>
      <c r="X120" s="74">
        <f t="shared" si="82"/>
        <v>0.5714285714285714</v>
      </c>
      <c r="Y120" s="73">
        <f t="shared" si="83"/>
        <v>2.5714285714285716</v>
      </c>
      <c r="Z120" s="71">
        <f t="shared" si="77"/>
        <v>21.060714285714287</v>
      </c>
      <c r="AA120" s="71">
        <f t="shared" si="78"/>
        <v>19.788927343546526</v>
      </c>
      <c r="AB120" s="71">
        <v>0</v>
      </c>
      <c r="AC120" s="71">
        <f t="shared" si="84"/>
        <v>0.54041027066326541</v>
      </c>
      <c r="AD120" s="74">
        <f t="shared" si="67"/>
        <v>0.54041027066326541</v>
      </c>
      <c r="AE120" s="73">
        <f t="shared" si="76"/>
        <v>8.4750000000000014</v>
      </c>
      <c r="AF120" s="71">
        <f t="shared" si="68"/>
        <v>12.954893924826193</v>
      </c>
      <c r="AG120" s="71">
        <f t="shared" si="85"/>
        <v>1.4768976341107876</v>
      </c>
      <c r="AH120" s="71">
        <f t="shared" si="86"/>
        <v>7.7599972271784754</v>
      </c>
      <c r="AI120" s="74">
        <f t="shared" si="69"/>
        <v>9.2368948612892634</v>
      </c>
      <c r="AJ120" s="73">
        <f t="shared" si="70"/>
        <v>11.3</v>
      </c>
      <c r="AK120" s="71">
        <f t="shared" si="87"/>
        <v>14.959022989642898</v>
      </c>
      <c r="AL120" s="71">
        <f t="shared" si="88"/>
        <v>1.96919684548105</v>
      </c>
      <c r="AM120" s="71">
        <f t="shared" si="95"/>
        <v>1.4388000000000003</v>
      </c>
      <c r="AN120" s="188">
        <f t="shared" si="89"/>
        <v>0.67394285714285718</v>
      </c>
      <c r="AO120" s="74">
        <f t="shared" si="72"/>
        <v>4.0819397026239077</v>
      </c>
      <c r="AP120" s="73">
        <f t="shared" si="90"/>
        <v>0.58740246811224506</v>
      </c>
      <c r="AQ120" s="206">
        <f t="shared" si="91"/>
        <v>0.54041027066326541</v>
      </c>
      <c r="AR120" s="206">
        <f t="shared" si="92"/>
        <v>0.88447929873185172</v>
      </c>
      <c r="AS120" s="71">
        <f t="shared" si="93"/>
        <v>0.19999999999999998</v>
      </c>
      <c r="AT120" s="74">
        <f t="shared" si="94"/>
        <v>3.96E-5</v>
      </c>
      <c r="AU120" s="73">
        <f t="shared" si="73"/>
        <v>16.071576472083798</v>
      </c>
      <c r="AV120" s="71">
        <f t="shared" si="74"/>
        <v>237.3</v>
      </c>
      <c r="AW120" s="74">
        <f t="shared" si="75"/>
        <v>93.656914206454204</v>
      </c>
    </row>
    <row r="121" spans="17:49" x14ac:dyDescent="0.25">
      <c r="Q121">
        <v>114</v>
      </c>
      <c r="R121" s="73">
        <f t="shared" si="49"/>
        <v>21</v>
      </c>
      <c r="S121" s="71">
        <f t="shared" si="79"/>
        <v>11.4</v>
      </c>
      <c r="T121" s="71">
        <f t="shared" si="51"/>
        <v>12</v>
      </c>
      <c r="U121" s="74">
        <f t="shared" si="80"/>
        <v>19.95</v>
      </c>
      <c r="V121" s="73">
        <f>IF(Variable_Management!$B$20=3,2,IF((S121*R121/T121)&lt;((T121*(1-(T121/R121)))/(2*Lm*Fsw)),1,2))</f>
        <v>2</v>
      </c>
      <c r="W121" s="71">
        <f t="shared" si="81"/>
        <v>0.4285714285714286</v>
      </c>
      <c r="X121" s="74">
        <f t="shared" si="82"/>
        <v>0.5714285714285714</v>
      </c>
      <c r="Y121" s="73">
        <f t="shared" si="83"/>
        <v>2.5714285714285716</v>
      </c>
      <c r="Z121" s="71">
        <f t="shared" si="77"/>
        <v>21.235714285714284</v>
      </c>
      <c r="AA121" s="71">
        <f t="shared" si="78"/>
        <v>19.963805258721678</v>
      </c>
      <c r="AB121" s="71">
        <v>0</v>
      </c>
      <c r="AC121" s="71">
        <f t="shared" si="84"/>
        <v>0.55000385816326536</v>
      </c>
      <c r="AD121" s="74">
        <f t="shared" si="67"/>
        <v>0.55000385816326536</v>
      </c>
      <c r="AE121" s="73">
        <f t="shared" si="76"/>
        <v>8.5500000000000007</v>
      </c>
      <c r="AF121" s="71">
        <f t="shared" si="68"/>
        <v>13.069378393921362</v>
      </c>
      <c r="AG121" s="71">
        <f t="shared" si="85"/>
        <v>1.5031161341107868</v>
      </c>
      <c r="AH121" s="71">
        <f t="shared" si="86"/>
        <v>7.8286697690119125</v>
      </c>
      <c r="AI121" s="74">
        <f t="shared" si="69"/>
        <v>9.3317859031227002</v>
      </c>
      <c r="AJ121" s="73">
        <f t="shared" si="70"/>
        <v>11.399999999999999</v>
      </c>
      <c r="AK121" s="71">
        <f t="shared" si="87"/>
        <v>15.091218267743153</v>
      </c>
      <c r="AL121" s="71">
        <f t="shared" si="88"/>
        <v>2.0041548454810489</v>
      </c>
      <c r="AM121" s="71">
        <f t="shared" si="95"/>
        <v>1.4388000000000003</v>
      </c>
      <c r="AN121" s="188">
        <f t="shared" si="89"/>
        <v>0.67954285714285712</v>
      </c>
      <c r="AO121" s="74">
        <f t="shared" si="72"/>
        <v>4.1224977026239058</v>
      </c>
      <c r="AP121" s="73">
        <f t="shared" si="90"/>
        <v>0.59783028061224497</v>
      </c>
      <c r="AQ121" s="206">
        <f t="shared" si="91"/>
        <v>0.55000385816326536</v>
      </c>
      <c r="AR121" s="206">
        <f t="shared" si="92"/>
        <v>0.88447929873185172</v>
      </c>
      <c r="AS121" s="71">
        <f t="shared" si="93"/>
        <v>0.19999999999999998</v>
      </c>
      <c r="AT121" s="74">
        <f t="shared" si="94"/>
        <v>3.96E-5</v>
      </c>
      <c r="AU121" s="73">
        <f t="shared" si="73"/>
        <v>16.236640501417231</v>
      </c>
      <c r="AV121" s="71">
        <f t="shared" si="74"/>
        <v>239.4</v>
      </c>
      <c r="AW121" s="74">
        <f t="shared" si="75"/>
        <v>93.648547223289285</v>
      </c>
    </row>
    <row r="122" spans="17:49" x14ac:dyDescent="0.25">
      <c r="Q122">
        <v>115</v>
      </c>
      <c r="R122" s="73">
        <f t="shared" si="49"/>
        <v>21</v>
      </c>
      <c r="S122" s="71">
        <f t="shared" si="79"/>
        <v>11.5</v>
      </c>
      <c r="T122" s="71">
        <f t="shared" si="51"/>
        <v>12</v>
      </c>
      <c r="U122" s="74">
        <f t="shared" si="80"/>
        <v>20.125</v>
      </c>
      <c r="V122" s="73">
        <f>IF(Variable_Management!$B$20=3,2,IF((S122*R122/T122)&lt;((T122*(1-(T122/R122)))/(2*Lm*Fsw)),1,2))</f>
        <v>2</v>
      </c>
      <c r="W122" s="71">
        <f t="shared" si="81"/>
        <v>0.4285714285714286</v>
      </c>
      <c r="X122" s="74">
        <f t="shared" si="82"/>
        <v>0.5714285714285714</v>
      </c>
      <c r="Y122" s="73">
        <f t="shared" si="83"/>
        <v>2.5714285714285716</v>
      </c>
      <c r="Z122" s="71">
        <f t="shared" si="77"/>
        <v>21.410714285714285</v>
      </c>
      <c r="AA122" s="71">
        <f t="shared" si="78"/>
        <v>20.138685294928347</v>
      </c>
      <c r="AB122" s="71">
        <v>0</v>
      </c>
      <c r="AC122" s="71">
        <f t="shared" si="84"/>
        <v>0.5596819706632653</v>
      </c>
      <c r="AD122" s="74">
        <f t="shared" si="67"/>
        <v>0.5596819706632653</v>
      </c>
      <c r="AE122" s="73">
        <f t="shared" si="76"/>
        <v>8.625</v>
      </c>
      <c r="AF122" s="71">
        <f t="shared" si="68"/>
        <v>13.183864251557605</v>
      </c>
      <c r="AG122" s="71">
        <f t="shared" si="85"/>
        <v>1.5295656341107875</v>
      </c>
      <c r="AH122" s="71">
        <f t="shared" si="86"/>
        <v>7.8973423108453495</v>
      </c>
      <c r="AI122" s="74">
        <f t="shared" si="69"/>
        <v>9.4269079449561364</v>
      </c>
      <c r="AJ122" s="73">
        <f t="shared" si="70"/>
        <v>11.5</v>
      </c>
      <c r="AK122" s="71">
        <f t="shared" si="87"/>
        <v>15.223415149192533</v>
      </c>
      <c r="AL122" s="71">
        <f t="shared" si="88"/>
        <v>2.0394208454810494</v>
      </c>
      <c r="AM122" s="71">
        <f t="shared" si="95"/>
        <v>1.4388000000000003</v>
      </c>
      <c r="AN122" s="188">
        <f t="shared" si="89"/>
        <v>0.68514285714285716</v>
      </c>
      <c r="AO122" s="74">
        <f t="shared" si="72"/>
        <v>4.163363702623907</v>
      </c>
      <c r="AP122" s="73">
        <f t="shared" si="90"/>
        <v>0.60834996811224484</v>
      </c>
      <c r="AQ122" s="206">
        <f t="shared" si="91"/>
        <v>0.5596819706632653</v>
      </c>
      <c r="AR122" s="206">
        <f t="shared" si="92"/>
        <v>0.88447929873185172</v>
      </c>
      <c r="AS122" s="71">
        <f t="shared" si="93"/>
        <v>0.19999999999999998</v>
      </c>
      <c r="AT122" s="74">
        <f t="shared" si="94"/>
        <v>3.96E-5</v>
      </c>
      <c r="AU122" s="73">
        <f t="shared" si="73"/>
        <v>16.40250445575067</v>
      </c>
      <c r="AV122" s="71">
        <f t="shared" si="74"/>
        <v>241.5</v>
      </c>
      <c r="AW122" s="74">
        <f t="shared" si="75"/>
        <v>93.640036768791873</v>
      </c>
    </row>
    <row r="123" spans="17:49" x14ac:dyDescent="0.25">
      <c r="Q123">
        <v>116</v>
      </c>
      <c r="R123" s="73">
        <f t="shared" si="49"/>
        <v>21</v>
      </c>
      <c r="S123" s="71">
        <f t="shared" si="79"/>
        <v>11.600000000000001</v>
      </c>
      <c r="T123" s="71">
        <f t="shared" si="51"/>
        <v>12</v>
      </c>
      <c r="U123" s="74">
        <f t="shared" si="80"/>
        <v>20.3</v>
      </c>
      <c r="V123" s="73">
        <f>IF(Variable_Management!$B$20=3,2,IF((S123*R123/T123)&lt;((T123*(1-(T123/R123)))/(2*Lm*Fsw)),1,2))</f>
        <v>2</v>
      </c>
      <c r="W123" s="71">
        <f t="shared" si="81"/>
        <v>0.4285714285714286</v>
      </c>
      <c r="X123" s="74">
        <f t="shared" si="82"/>
        <v>0.5714285714285714</v>
      </c>
      <c r="Y123" s="73">
        <f t="shared" si="83"/>
        <v>2.5714285714285716</v>
      </c>
      <c r="Z123" s="71">
        <f t="shared" si="77"/>
        <v>21.585714285714285</v>
      </c>
      <c r="AA123" s="71">
        <f t="shared" si="78"/>
        <v>20.313567397386489</v>
      </c>
      <c r="AB123" s="71">
        <v>0</v>
      </c>
      <c r="AC123" s="71">
        <f t="shared" si="84"/>
        <v>0.56944460816326525</v>
      </c>
      <c r="AD123" s="74">
        <f t="shared" si="67"/>
        <v>0.56944460816326525</v>
      </c>
      <c r="AE123" s="73">
        <f t="shared" si="76"/>
        <v>8.7000000000000011</v>
      </c>
      <c r="AF123" s="71">
        <f t="shared" si="68"/>
        <v>13.298351461872954</v>
      </c>
      <c r="AG123" s="71">
        <f t="shared" si="85"/>
        <v>1.5562461341107874</v>
      </c>
      <c r="AH123" s="71">
        <f t="shared" si="86"/>
        <v>7.9660148526787875</v>
      </c>
      <c r="AI123" s="74">
        <f t="shared" si="69"/>
        <v>9.5222609867895756</v>
      </c>
      <c r="AJ123" s="73">
        <f t="shared" si="70"/>
        <v>11.6</v>
      </c>
      <c r="AK123" s="71">
        <f t="shared" si="87"/>
        <v>15.355613592581207</v>
      </c>
      <c r="AL123" s="71">
        <f t="shared" si="88"/>
        <v>2.0749948454810498</v>
      </c>
      <c r="AM123" s="71">
        <f t="shared" si="95"/>
        <v>1.4388000000000003</v>
      </c>
      <c r="AN123" s="188">
        <f t="shared" si="89"/>
        <v>0.6907428571428571</v>
      </c>
      <c r="AO123" s="74">
        <f t="shared" si="72"/>
        <v>4.2045377026239077</v>
      </c>
      <c r="AP123" s="73">
        <f t="shared" si="90"/>
        <v>0.6189615306122449</v>
      </c>
      <c r="AQ123" s="206">
        <f t="shared" si="91"/>
        <v>0.56944460816326525</v>
      </c>
      <c r="AR123" s="206">
        <f t="shared" si="92"/>
        <v>0.88447929873185172</v>
      </c>
      <c r="AS123" s="71">
        <f t="shared" si="93"/>
        <v>0.19999999999999998</v>
      </c>
      <c r="AT123" s="74">
        <f t="shared" si="94"/>
        <v>3.96E-5</v>
      </c>
      <c r="AU123" s="73">
        <f t="shared" si="73"/>
        <v>16.569168335084107</v>
      </c>
      <c r="AV123" s="71">
        <f t="shared" si="74"/>
        <v>243.60000000000002</v>
      </c>
      <c r="AW123" s="74">
        <f t="shared" si="75"/>
        <v>93.631386670020831</v>
      </c>
    </row>
    <row r="124" spans="17:49" x14ac:dyDescent="0.25">
      <c r="Q124">
        <v>117</v>
      </c>
      <c r="R124" s="73">
        <f t="shared" si="49"/>
        <v>21</v>
      </c>
      <c r="S124" s="71">
        <f t="shared" si="79"/>
        <v>11.700000000000001</v>
      </c>
      <c r="T124" s="71">
        <f t="shared" si="51"/>
        <v>12</v>
      </c>
      <c r="U124" s="74">
        <f t="shared" si="80"/>
        <v>20.475000000000001</v>
      </c>
      <c r="V124" s="73">
        <f>IF(Variable_Management!$B$20=3,2,IF((S124*R124/T124)&lt;((T124*(1-(T124/R124)))/(2*Lm*Fsw)),1,2))</f>
        <v>2</v>
      </c>
      <c r="W124" s="71">
        <f t="shared" si="81"/>
        <v>0.4285714285714286</v>
      </c>
      <c r="X124" s="74">
        <f t="shared" si="82"/>
        <v>0.5714285714285714</v>
      </c>
      <c r="Y124" s="73">
        <f t="shared" si="83"/>
        <v>2.5714285714285716</v>
      </c>
      <c r="Z124" s="71">
        <f t="shared" si="77"/>
        <v>21.760714285714286</v>
      </c>
      <c r="AA124" s="71">
        <f t="shared" si="78"/>
        <v>20.488451513185748</v>
      </c>
      <c r="AB124" s="71">
        <v>0</v>
      </c>
      <c r="AC124" s="71">
        <f t="shared" si="84"/>
        <v>0.57929177066326543</v>
      </c>
      <c r="AD124" s="74">
        <f t="shared" si="67"/>
        <v>0.57929177066326543</v>
      </c>
      <c r="AE124" s="73">
        <f t="shared" si="76"/>
        <v>8.7750000000000021</v>
      </c>
      <c r="AF124" s="71">
        <f t="shared" si="68"/>
        <v>13.412839990229457</v>
      </c>
      <c r="AG124" s="71">
        <f t="shared" si="85"/>
        <v>1.5831576341107874</v>
      </c>
      <c r="AH124" s="71">
        <f t="shared" si="86"/>
        <v>8.0346873945122255</v>
      </c>
      <c r="AI124" s="74">
        <f t="shared" si="69"/>
        <v>9.6178450286230124</v>
      </c>
      <c r="AJ124" s="73">
        <f t="shared" si="70"/>
        <v>11.7</v>
      </c>
      <c r="AK124" s="71">
        <f t="shared" si="87"/>
        <v>15.487813557912709</v>
      </c>
      <c r="AL124" s="71">
        <f t="shared" si="88"/>
        <v>2.1108768454810498</v>
      </c>
      <c r="AM124" s="71">
        <f t="shared" si="95"/>
        <v>1.4388000000000003</v>
      </c>
      <c r="AN124" s="188">
        <f t="shared" si="89"/>
        <v>0.69634285714285715</v>
      </c>
      <c r="AO124" s="74">
        <f t="shared" si="72"/>
        <v>4.2460197026239079</v>
      </c>
      <c r="AP124" s="73">
        <f t="shared" si="90"/>
        <v>0.62966496811224504</v>
      </c>
      <c r="AQ124" s="206">
        <f t="shared" si="91"/>
        <v>0.57929177066326543</v>
      </c>
      <c r="AR124" s="206">
        <f t="shared" si="92"/>
        <v>0.88447929873185172</v>
      </c>
      <c r="AS124" s="71">
        <f t="shared" si="93"/>
        <v>0.19999999999999998</v>
      </c>
      <c r="AT124" s="74">
        <f t="shared" si="94"/>
        <v>3.96E-5</v>
      </c>
      <c r="AU124" s="73">
        <f t="shared" si="73"/>
        <v>16.736632139417548</v>
      </c>
      <c r="AV124" s="71">
        <f t="shared" si="74"/>
        <v>245.70000000000002</v>
      </c>
      <c r="AW124" s="74">
        <f t="shared" si="75"/>
        <v>93.622600624395176</v>
      </c>
    </row>
    <row r="125" spans="17:49" x14ac:dyDescent="0.25">
      <c r="Q125">
        <v>118</v>
      </c>
      <c r="R125" s="73">
        <f t="shared" si="49"/>
        <v>21</v>
      </c>
      <c r="S125" s="71">
        <f t="shared" si="79"/>
        <v>11.8</v>
      </c>
      <c r="T125" s="71">
        <f t="shared" si="51"/>
        <v>12</v>
      </c>
      <c r="U125" s="74">
        <f t="shared" si="80"/>
        <v>20.650000000000002</v>
      </c>
      <c r="V125" s="73">
        <f>IF(Variable_Management!$B$20=3,2,IF((S125*R125/T125)&lt;((T125*(1-(T125/R125)))/(2*Lm*Fsw)),1,2))</f>
        <v>2</v>
      </c>
      <c r="W125" s="71">
        <f t="shared" si="81"/>
        <v>0.4285714285714286</v>
      </c>
      <c r="X125" s="74">
        <f t="shared" si="82"/>
        <v>0.5714285714285714</v>
      </c>
      <c r="Y125" s="73">
        <f t="shared" si="83"/>
        <v>2.5714285714285716</v>
      </c>
      <c r="Z125" s="71">
        <f t="shared" si="77"/>
        <v>21.935714285714287</v>
      </c>
      <c r="AA125" s="71">
        <f t="shared" si="78"/>
        <v>20.663337591206396</v>
      </c>
      <c r="AB125" s="71">
        <v>0</v>
      </c>
      <c r="AC125" s="71">
        <f t="shared" si="84"/>
        <v>0.58922345816326538</v>
      </c>
      <c r="AD125" s="74">
        <f t="shared" si="67"/>
        <v>0.58922345816326538</v>
      </c>
      <c r="AE125" s="73">
        <f t="shared" si="76"/>
        <v>8.8500000000000014</v>
      </c>
      <c r="AF125" s="71">
        <f t="shared" si="68"/>
        <v>13.527329803161397</v>
      </c>
      <c r="AG125" s="71">
        <f t="shared" si="85"/>
        <v>1.6103001341107874</v>
      </c>
      <c r="AH125" s="71">
        <f t="shared" si="86"/>
        <v>8.1033599363456652</v>
      </c>
      <c r="AI125" s="74">
        <f t="shared" si="69"/>
        <v>9.7136600704564522</v>
      </c>
      <c r="AJ125" s="73">
        <f t="shared" si="70"/>
        <v>11.8</v>
      </c>
      <c r="AK125" s="71">
        <f t="shared" si="87"/>
        <v>15.620015006544159</v>
      </c>
      <c r="AL125" s="71">
        <f t="shared" si="88"/>
        <v>2.1470668454810498</v>
      </c>
      <c r="AM125" s="71">
        <f t="shared" si="95"/>
        <v>1.4388000000000003</v>
      </c>
      <c r="AN125" s="188">
        <f t="shared" si="89"/>
        <v>0.7019428571428572</v>
      </c>
      <c r="AO125" s="74">
        <f t="shared" si="72"/>
        <v>4.2878097026239068</v>
      </c>
      <c r="AP125" s="73">
        <f t="shared" si="90"/>
        <v>0.64046028061224503</v>
      </c>
      <c r="AQ125" s="206">
        <f t="shared" si="91"/>
        <v>0.58922345816326538</v>
      </c>
      <c r="AR125" s="206">
        <f t="shared" si="92"/>
        <v>0.88447929873185172</v>
      </c>
      <c r="AS125" s="71">
        <f t="shared" si="93"/>
        <v>0.19999999999999998</v>
      </c>
      <c r="AT125" s="74">
        <f t="shared" si="94"/>
        <v>3.96E-5</v>
      </c>
      <c r="AU125" s="73">
        <f t="shared" si="73"/>
        <v>16.904895868750984</v>
      </c>
      <c r="AV125" s="71">
        <f t="shared" si="74"/>
        <v>247.8</v>
      </c>
      <c r="AW125" s="74">
        <f t="shared" si="75"/>
        <v>93.613682205132704</v>
      </c>
    </row>
    <row r="126" spans="17:49" x14ac:dyDescent="0.25">
      <c r="Q126">
        <v>119</v>
      </c>
      <c r="R126" s="73">
        <f t="shared" si="49"/>
        <v>21</v>
      </c>
      <c r="S126" s="71">
        <f t="shared" si="79"/>
        <v>11.9</v>
      </c>
      <c r="T126" s="71">
        <f t="shared" si="51"/>
        <v>12</v>
      </c>
      <c r="U126" s="74">
        <f t="shared" si="80"/>
        <v>20.824999999999999</v>
      </c>
      <c r="V126" s="73">
        <f>IF(Variable_Management!$B$20=3,2,IF((S126*R126/T126)&lt;((T126*(1-(T126/R126)))/(2*Lm*Fsw)),1,2))</f>
        <v>2</v>
      </c>
      <c r="W126" s="71">
        <f t="shared" si="81"/>
        <v>0.4285714285714286</v>
      </c>
      <c r="X126" s="74">
        <f t="shared" si="82"/>
        <v>0.5714285714285714</v>
      </c>
      <c r="Y126" s="73">
        <f t="shared" si="83"/>
        <v>2.5714285714285716</v>
      </c>
      <c r="Z126" s="71">
        <f t="shared" si="77"/>
        <v>22.110714285714284</v>
      </c>
      <c r="AA126" s="71">
        <f t="shared" si="78"/>
        <v>20.838225582044245</v>
      </c>
      <c r="AB126" s="71">
        <v>0</v>
      </c>
      <c r="AC126" s="71">
        <f t="shared" si="84"/>
        <v>0.59923967066326522</v>
      </c>
      <c r="AD126" s="74">
        <f t="shared" si="67"/>
        <v>0.59923967066326522</v>
      </c>
      <c r="AE126" s="73">
        <f t="shared" si="76"/>
        <v>8.9250000000000007</v>
      </c>
      <c r="AF126" s="71">
        <f t="shared" si="68"/>
        <v>13.641820868326139</v>
      </c>
      <c r="AG126" s="71">
        <f t="shared" si="85"/>
        <v>1.6376736341107871</v>
      </c>
      <c r="AH126" s="71">
        <f t="shared" si="86"/>
        <v>8.1720324781791014</v>
      </c>
      <c r="AI126" s="74">
        <f t="shared" si="69"/>
        <v>9.8097061122898879</v>
      </c>
      <c r="AJ126" s="73">
        <f t="shared" si="70"/>
        <v>11.899999999999999</v>
      </c>
      <c r="AK126" s="71">
        <f t="shared" si="87"/>
        <v>15.7522179011295</v>
      </c>
      <c r="AL126" s="71">
        <f t="shared" si="88"/>
        <v>2.1835648454810492</v>
      </c>
      <c r="AM126" s="71">
        <f t="shared" si="95"/>
        <v>1.4388000000000003</v>
      </c>
      <c r="AN126" s="188">
        <f t="shared" si="89"/>
        <v>0.70754285714285714</v>
      </c>
      <c r="AO126" s="74">
        <f t="shared" si="72"/>
        <v>4.329907702623907</v>
      </c>
      <c r="AP126" s="73">
        <f t="shared" si="90"/>
        <v>0.65134746811224487</v>
      </c>
      <c r="AQ126" s="206">
        <f t="shared" si="91"/>
        <v>0.59923967066326522</v>
      </c>
      <c r="AR126" s="206">
        <f t="shared" si="92"/>
        <v>0.88447929873185172</v>
      </c>
      <c r="AS126" s="71">
        <f t="shared" si="93"/>
        <v>0.19999999999999998</v>
      </c>
      <c r="AT126" s="74">
        <f t="shared" si="94"/>
        <v>3.96E-5</v>
      </c>
      <c r="AU126" s="73">
        <f t="shared" si="73"/>
        <v>17.073959523084419</v>
      </c>
      <c r="AV126" s="71">
        <f t="shared" si="74"/>
        <v>249.9</v>
      </c>
      <c r="AW126" s="74">
        <f t="shared" si="75"/>
        <v>93.604634866417342</v>
      </c>
    </row>
    <row r="127" spans="17:49" x14ac:dyDescent="0.25">
      <c r="Q127">
        <v>120</v>
      </c>
      <c r="R127" s="73">
        <f t="shared" si="49"/>
        <v>21</v>
      </c>
      <c r="S127" s="71">
        <f t="shared" si="79"/>
        <v>12</v>
      </c>
      <c r="T127" s="71">
        <f t="shared" si="51"/>
        <v>12</v>
      </c>
      <c r="U127" s="74">
        <f t="shared" si="80"/>
        <v>21</v>
      </c>
      <c r="V127" s="73">
        <f>IF(Variable_Management!$B$20=3,2,IF((S127*R127/T127)&lt;((T127*(1-(T127/R127)))/(2*Lm*Fsw)),1,2))</f>
        <v>2</v>
      </c>
      <c r="W127" s="71">
        <f t="shared" si="81"/>
        <v>0.4285714285714286</v>
      </c>
      <c r="X127" s="74">
        <f t="shared" si="82"/>
        <v>0.5714285714285714</v>
      </c>
      <c r="Y127" s="73">
        <f t="shared" si="83"/>
        <v>2.5714285714285716</v>
      </c>
      <c r="Z127" s="71">
        <f t="shared" si="77"/>
        <v>22.285714285714285</v>
      </c>
      <c r="AA127" s="71">
        <f t="shared" si="78"/>
        <v>21.013115437939309</v>
      </c>
      <c r="AB127" s="71">
        <v>0</v>
      </c>
      <c r="AC127" s="71">
        <f t="shared" si="84"/>
        <v>0.60934040816326529</v>
      </c>
      <c r="AD127" s="74">
        <f t="shared" si="67"/>
        <v>0.60934040816326529</v>
      </c>
      <c r="AE127" s="73">
        <f t="shared" si="76"/>
        <v>9</v>
      </c>
      <c r="AF127" s="71">
        <f t="shared" si="68"/>
        <v>13.75631315445743</v>
      </c>
      <c r="AG127" s="71">
        <f t="shared" si="85"/>
        <v>1.6652781341107872</v>
      </c>
      <c r="AH127" s="71">
        <f t="shared" si="86"/>
        <v>8.2407050200125394</v>
      </c>
      <c r="AI127" s="74">
        <f t="shared" si="69"/>
        <v>9.9059831541233265</v>
      </c>
      <c r="AJ127" s="73">
        <f t="shared" si="70"/>
        <v>12</v>
      </c>
      <c r="AK127" s="71">
        <f t="shared" si="87"/>
        <v>15.884422205565574</v>
      </c>
      <c r="AL127" s="71">
        <f t="shared" si="88"/>
        <v>2.2203708454810496</v>
      </c>
      <c r="AM127" s="71">
        <f t="shared" si="95"/>
        <v>1.4388000000000003</v>
      </c>
      <c r="AN127" s="188">
        <f t="shared" si="89"/>
        <v>0.71314285714285708</v>
      </c>
      <c r="AO127" s="74">
        <f t="shared" si="72"/>
        <v>4.3723137026239076</v>
      </c>
      <c r="AP127" s="73">
        <f t="shared" si="90"/>
        <v>0.662326530612245</v>
      </c>
      <c r="AQ127" s="206">
        <f t="shared" si="91"/>
        <v>0.60934040816326529</v>
      </c>
      <c r="AR127" s="206">
        <f t="shared" si="92"/>
        <v>0.88447929873185172</v>
      </c>
      <c r="AS127" s="71">
        <f t="shared" si="93"/>
        <v>0.19999999999999998</v>
      </c>
      <c r="AT127" s="74">
        <f t="shared" si="94"/>
        <v>3.96E-5</v>
      </c>
      <c r="AU127" s="73">
        <f t="shared" si="73"/>
        <v>17.24382310241786</v>
      </c>
      <c r="AV127" s="71">
        <f t="shared" si="74"/>
        <v>252</v>
      </c>
      <c r="AW127" s="74">
        <f t="shared" si="75"/>
        <v>93.595461948310515</v>
      </c>
    </row>
    <row r="128" spans="17:49" x14ac:dyDescent="0.25">
      <c r="Q128">
        <v>121</v>
      </c>
      <c r="R128" s="73">
        <f t="shared" si="49"/>
        <v>21</v>
      </c>
      <c r="S128" s="71">
        <f t="shared" si="79"/>
        <v>12.100000000000001</v>
      </c>
      <c r="T128" s="71">
        <f t="shared" si="51"/>
        <v>12</v>
      </c>
      <c r="U128" s="74">
        <f t="shared" si="80"/>
        <v>21.175000000000001</v>
      </c>
      <c r="V128" s="73">
        <f>IF(Variable_Management!$B$20=3,2,IF((S128*R128/T128)&lt;((T128*(1-(T128/R128)))/(2*Lm*Fsw)),1,2))</f>
        <v>2</v>
      </c>
      <c r="W128" s="71">
        <f t="shared" si="81"/>
        <v>0.4285714285714286</v>
      </c>
      <c r="X128" s="74">
        <f t="shared" si="82"/>
        <v>0.5714285714285714</v>
      </c>
      <c r="Y128" s="73">
        <f t="shared" si="83"/>
        <v>2.5714285714285716</v>
      </c>
      <c r="Z128" s="71">
        <f t="shared" si="77"/>
        <v>22.460714285714285</v>
      </c>
      <c r="AA128" s="71">
        <f t="shared" si="78"/>
        <v>21.188007112707965</v>
      </c>
      <c r="AB128" s="71">
        <v>0</v>
      </c>
      <c r="AC128" s="71">
        <f t="shared" si="84"/>
        <v>0.61952567066326536</v>
      </c>
      <c r="AD128" s="74">
        <f t="shared" si="67"/>
        <v>0.61952567066326536</v>
      </c>
      <c r="AE128" s="73">
        <f t="shared" si="76"/>
        <v>9.0750000000000011</v>
      </c>
      <c r="AF128" s="71">
        <f t="shared" si="68"/>
        <v>13.870806631320997</v>
      </c>
      <c r="AG128" s="71">
        <f t="shared" si="85"/>
        <v>1.6931136341107873</v>
      </c>
      <c r="AH128" s="71">
        <f t="shared" si="86"/>
        <v>8.3093775618459773</v>
      </c>
      <c r="AI128" s="74">
        <f t="shared" si="69"/>
        <v>10.002491195956765</v>
      </c>
      <c r="AJ128" s="73">
        <f t="shared" si="70"/>
        <v>12.1</v>
      </c>
      <c r="AK128" s="71">
        <f t="shared" si="87"/>
        <v>16.016627884940846</v>
      </c>
      <c r="AL128" s="71">
        <f t="shared" si="88"/>
        <v>2.257484845481049</v>
      </c>
      <c r="AM128" s="71">
        <f t="shared" si="95"/>
        <v>1.4388000000000003</v>
      </c>
      <c r="AN128" s="188">
        <f t="shared" si="89"/>
        <v>0.71874285714285713</v>
      </c>
      <c r="AO128" s="74">
        <f t="shared" si="72"/>
        <v>4.415027702623906</v>
      </c>
      <c r="AP128" s="73">
        <f t="shared" si="90"/>
        <v>0.67339746811224499</v>
      </c>
      <c r="AQ128" s="206">
        <f t="shared" si="91"/>
        <v>0.61952567066326536</v>
      </c>
      <c r="AR128" s="206">
        <f t="shared" si="92"/>
        <v>0.88447929873185172</v>
      </c>
      <c r="AS128" s="71">
        <f t="shared" si="93"/>
        <v>0.19999999999999998</v>
      </c>
      <c r="AT128" s="74">
        <f t="shared" si="94"/>
        <v>3.96E-5</v>
      </c>
      <c r="AU128" s="73">
        <f t="shared" si="73"/>
        <v>17.414486606751296</v>
      </c>
      <c r="AV128" s="71">
        <f t="shared" si="74"/>
        <v>254.10000000000002</v>
      </c>
      <c r="AW128" s="74">
        <f t="shared" si="75"/>
        <v>93.586166681421446</v>
      </c>
    </row>
    <row r="129" spans="17:49" x14ac:dyDescent="0.25">
      <c r="Q129">
        <v>122</v>
      </c>
      <c r="R129" s="73">
        <f t="shared" si="49"/>
        <v>21</v>
      </c>
      <c r="S129" s="71">
        <f t="shared" si="79"/>
        <v>12.200000000000001</v>
      </c>
      <c r="T129" s="71">
        <f t="shared" si="51"/>
        <v>12</v>
      </c>
      <c r="U129" s="74">
        <f t="shared" si="80"/>
        <v>21.350000000000005</v>
      </c>
      <c r="V129" s="73">
        <f>IF(Variable_Management!$B$20=3,2,IF((S129*R129/T129)&lt;((T129*(1-(T129/R129)))/(2*Lm*Fsw)),1,2))</f>
        <v>2</v>
      </c>
      <c r="W129" s="71">
        <f t="shared" si="81"/>
        <v>0.4285714285714286</v>
      </c>
      <c r="X129" s="74">
        <f t="shared" si="82"/>
        <v>0.5714285714285714</v>
      </c>
      <c r="Y129" s="73">
        <f t="shared" si="83"/>
        <v>2.5714285714285716</v>
      </c>
      <c r="Z129" s="71">
        <f t="shared" si="77"/>
        <v>22.63571428571429</v>
      </c>
      <c r="AA129" s="71">
        <f t="shared" si="78"/>
        <v>21.362900561678497</v>
      </c>
      <c r="AB129" s="71">
        <v>0</v>
      </c>
      <c r="AC129" s="71">
        <f t="shared" si="84"/>
        <v>0.62979545816326554</v>
      </c>
      <c r="AD129" s="74">
        <f t="shared" si="67"/>
        <v>0.62979545816326554</v>
      </c>
      <c r="AE129" s="73">
        <f t="shared" si="76"/>
        <v>9.1500000000000021</v>
      </c>
      <c r="AF129" s="71">
        <f t="shared" si="68"/>
        <v>13.985301269672334</v>
      </c>
      <c r="AG129" s="71">
        <f t="shared" si="85"/>
        <v>1.7211801341107877</v>
      </c>
      <c r="AH129" s="71">
        <f t="shared" si="86"/>
        <v>8.3780501036794153</v>
      </c>
      <c r="AI129" s="74">
        <f t="shared" si="69"/>
        <v>10.099230237790202</v>
      </c>
      <c r="AJ129" s="73">
        <f t="shared" si="70"/>
        <v>12.200000000000003</v>
      </c>
      <c r="AK129" s="71">
        <f t="shared" si="87"/>
        <v>16.148834905486673</v>
      </c>
      <c r="AL129" s="71">
        <f t="shared" si="88"/>
        <v>2.2949068454810502</v>
      </c>
      <c r="AM129" s="71">
        <f t="shared" si="95"/>
        <v>1.4388000000000003</v>
      </c>
      <c r="AN129" s="188">
        <f t="shared" si="89"/>
        <v>0.72434285714285729</v>
      </c>
      <c r="AO129" s="74">
        <f t="shared" si="72"/>
        <v>4.4580497026239074</v>
      </c>
      <c r="AP129" s="73">
        <f t="shared" si="90"/>
        <v>0.68456028061224528</v>
      </c>
      <c r="AQ129" s="206">
        <f t="shared" si="91"/>
        <v>0.62979545816326554</v>
      </c>
      <c r="AR129" s="206">
        <f t="shared" si="92"/>
        <v>0.88447929873185172</v>
      </c>
      <c r="AS129" s="71">
        <f t="shared" si="93"/>
        <v>0.19999999999999998</v>
      </c>
      <c r="AT129" s="74">
        <f t="shared" si="94"/>
        <v>3.96E-5</v>
      </c>
      <c r="AU129" s="73">
        <f t="shared" si="73"/>
        <v>17.585950036084736</v>
      </c>
      <c r="AV129" s="71">
        <f t="shared" si="74"/>
        <v>256.20000000000005</v>
      </c>
      <c r="AW129" s="74">
        <f t="shared" si="75"/>
        <v>93.576752191349883</v>
      </c>
    </row>
    <row r="130" spans="17:49" x14ac:dyDescent="0.25">
      <c r="Q130">
        <v>123</v>
      </c>
      <c r="R130" s="73">
        <f t="shared" si="49"/>
        <v>21</v>
      </c>
      <c r="S130" s="71">
        <f t="shared" si="79"/>
        <v>12.3</v>
      </c>
      <c r="T130" s="71">
        <f t="shared" si="51"/>
        <v>12</v>
      </c>
      <c r="U130" s="74">
        <f t="shared" si="80"/>
        <v>21.525000000000002</v>
      </c>
      <c r="V130" s="73">
        <f>IF(Variable_Management!$B$20=3,2,IF((S130*R130/T130)&lt;((T130*(1-(T130/R130)))/(2*Lm*Fsw)),1,2))</f>
        <v>2</v>
      </c>
      <c r="W130" s="71">
        <f t="shared" si="81"/>
        <v>0.4285714285714286</v>
      </c>
      <c r="X130" s="74">
        <f t="shared" si="82"/>
        <v>0.5714285714285714</v>
      </c>
      <c r="Y130" s="73">
        <f t="shared" si="83"/>
        <v>2.5714285714285716</v>
      </c>
      <c r="Z130" s="71">
        <f t="shared" si="77"/>
        <v>22.810714285714287</v>
      </c>
      <c r="AA130" s="71">
        <f t="shared" si="78"/>
        <v>21.537795741629722</v>
      </c>
      <c r="AB130" s="71">
        <v>0</v>
      </c>
      <c r="AC130" s="71">
        <f t="shared" si="84"/>
        <v>0.64014977066326539</v>
      </c>
      <c r="AD130" s="74">
        <f t="shared" si="67"/>
        <v>0.64014977066326539</v>
      </c>
      <c r="AE130" s="73">
        <f t="shared" si="76"/>
        <v>9.2250000000000014</v>
      </c>
      <c r="AF130" s="71">
        <f t="shared" si="68"/>
        <v>14.099797041216535</v>
      </c>
      <c r="AG130" s="71">
        <f t="shared" si="85"/>
        <v>1.7494776341107874</v>
      </c>
      <c r="AH130" s="71">
        <f t="shared" si="86"/>
        <v>8.4467226455128532</v>
      </c>
      <c r="AI130" s="74">
        <f t="shared" si="69"/>
        <v>10.196200279623641</v>
      </c>
      <c r="AJ130" s="73">
        <f t="shared" si="70"/>
        <v>12.3</v>
      </c>
      <c r="AK130" s="71">
        <f t="shared" si="87"/>
        <v>16.281043234530909</v>
      </c>
      <c r="AL130" s="71">
        <f t="shared" si="88"/>
        <v>2.3326368454810491</v>
      </c>
      <c r="AM130" s="71">
        <f t="shared" si="95"/>
        <v>1.4388000000000003</v>
      </c>
      <c r="AN130" s="188">
        <f t="shared" si="89"/>
        <v>0.72994285714285723</v>
      </c>
      <c r="AO130" s="74">
        <f t="shared" si="72"/>
        <v>4.5013797026239066</v>
      </c>
      <c r="AP130" s="73">
        <f t="shared" si="90"/>
        <v>0.69581496811224508</v>
      </c>
      <c r="AQ130" s="206">
        <f t="shared" si="91"/>
        <v>0.64014977066326539</v>
      </c>
      <c r="AR130" s="206">
        <f t="shared" si="92"/>
        <v>0.88447929873185172</v>
      </c>
      <c r="AS130" s="71">
        <f t="shared" si="93"/>
        <v>0.19999999999999998</v>
      </c>
      <c r="AT130" s="74">
        <f t="shared" si="94"/>
        <v>3.96E-5</v>
      </c>
      <c r="AU130" s="73">
        <f t="shared" si="73"/>
        <v>17.75821339041817</v>
      </c>
      <c r="AV130" s="71">
        <f t="shared" si="74"/>
        <v>258.3</v>
      </c>
      <c r="AW130" s="74">
        <f t="shared" si="75"/>
        <v>93.567221502914151</v>
      </c>
    </row>
    <row r="131" spans="17:49" x14ac:dyDescent="0.25">
      <c r="Q131">
        <v>124</v>
      </c>
      <c r="R131" s="73">
        <f t="shared" si="49"/>
        <v>21</v>
      </c>
      <c r="S131" s="71">
        <f t="shared" si="79"/>
        <v>12.4</v>
      </c>
      <c r="T131" s="71">
        <f t="shared" si="51"/>
        <v>12</v>
      </c>
      <c r="U131" s="74">
        <f t="shared" si="80"/>
        <v>21.700000000000003</v>
      </c>
      <c r="V131" s="73">
        <f>IF(Variable_Management!$B$20=3,2,IF((S131*R131/T131)&lt;((T131*(1-(T131/R131)))/(2*Lm*Fsw)),1,2))</f>
        <v>2</v>
      </c>
      <c r="W131" s="71">
        <f t="shared" si="81"/>
        <v>0.4285714285714286</v>
      </c>
      <c r="X131" s="74">
        <f t="shared" si="82"/>
        <v>0.5714285714285714</v>
      </c>
      <c r="Y131" s="73">
        <f t="shared" si="83"/>
        <v>2.5714285714285716</v>
      </c>
      <c r="Z131" s="71">
        <f t="shared" si="77"/>
        <v>22.985714285714288</v>
      </c>
      <c r="AA131" s="71">
        <f t="shared" si="78"/>
        <v>21.712692610732631</v>
      </c>
      <c r="AB131" s="71">
        <v>0</v>
      </c>
      <c r="AC131" s="71">
        <f t="shared" si="84"/>
        <v>0.65058860816326547</v>
      </c>
      <c r="AD131" s="74">
        <f t="shared" si="67"/>
        <v>0.65058860816326547</v>
      </c>
      <c r="AE131" s="73">
        <f t="shared" si="76"/>
        <v>9.3000000000000025</v>
      </c>
      <c r="AF131" s="71">
        <f t="shared" si="68"/>
        <v>14.214293918570089</v>
      </c>
      <c r="AG131" s="71">
        <f t="shared" si="85"/>
        <v>1.7780061341107878</v>
      </c>
      <c r="AH131" s="71">
        <f t="shared" si="86"/>
        <v>8.5153951873462912</v>
      </c>
      <c r="AI131" s="74">
        <f t="shared" si="69"/>
        <v>10.293401321457079</v>
      </c>
      <c r="AJ131" s="73">
        <f t="shared" si="70"/>
        <v>12.4</v>
      </c>
      <c r="AK131" s="71">
        <f t="shared" si="87"/>
        <v>16.413252840453801</v>
      </c>
      <c r="AL131" s="71">
        <f t="shared" si="88"/>
        <v>2.3706748454810502</v>
      </c>
      <c r="AM131" s="71">
        <f t="shared" si="95"/>
        <v>1.4388000000000003</v>
      </c>
      <c r="AN131" s="188">
        <f t="shared" si="89"/>
        <v>0.73554285714285716</v>
      </c>
      <c r="AO131" s="74">
        <f t="shared" si="72"/>
        <v>4.5450177026239071</v>
      </c>
      <c r="AP131" s="73">
        <f t="shared" si="90"/>
        <v>0.70716153061224518</v>
      </c>
      <c r="AQ131" s="206">
        <f t="shared" si="91"/>
        <v>0.65058860816326547</v>
      </c>
      <c r="AR131" s="206">
        <f t="shared" si="92"/>
        <v>0.88447929873185172</v>
      </c>
      <c r="AS131" s="71">
        <f t="shared" si="93"/>
        <v>0.19999999999999998</v>
      </c>
      <c r="AT131" s="74">
        <f t="shared" si="94"/>
        <v>3.96E-5</v>
      </c>
      <c r="AU131" s="73">
        <f t="shared" si="73"/>
        <v>17.931276669751611</v>
      </c>
      <c r="AV131" s="71">
        <f t="shared" si="74"/>
        <v>260.40000000000003</v>
      </c>
      <c r="AW131" s="74">
        <f t="shared" si="75"/>
        <v>93.557577544176738</v>
      </c>
    </row>
    <row r="132" spans="17:49" x14ac:dyDescent="0.25">
      <c r="Q132">
        <v>125</v>
      </c>
      <c r="R132" s="73">
        <f t="shared" si="49"/>
        <v>21</v>
      </c>
      <c r="S132" s="71">
        <f t="shared" si="79"/>
        <v>12.5</v>
      </c>
      <c r="T132" s="71">
        <f t="shared" si="51"/>
        <v>12</v>
      </c>
      <c r="U132" s="74">
        <f t="shared" si="80"/>
        <v>21.875</v>
      </c>
      <c r="V132" s="73">
        <f>IF(Variable_Management!$B$20=3,2,IF((S132*R132/T132)&lt;((T132*(1-(T132/R132)))/(2*Lm*Fsw)),1,2))</f>
        <v>2</v>
      </c>
      <c r="W132" s="71">
        <f t="shared" si="81"/>
        <v>0.4285714285714286</v>
      </c>
      <c r="X132" s="74">
        <f t="shared" si="82"/>
        <v>0.5714285714285714</v>
      </c>
      <c r="Y132" s="73">
        <f t="shared" si="83"/>
        <v>2.5714285714285716</v>
      </c>
      <c r="Z132" s="71">
        <f t="shared" si="77"/>
        <v>23.160714285714285</v>
      </c>
      <c r="AA132" s="71">
        <f t="shared" si="78"/>
        <v>21.887591128494776</v>
      </c>
      <c r="AB132" s="71">
        <v>0</v>
      </c>
      <c r="AC132" s="71">
        <f t="shared" si="84"/>
        <v>0.66111197066326521</v>
      </c>
      <c r="AD132" s="74">
        <f t="shared" si="67"/>
        <v>0.66111197066326521</v>
      </c>
      <c r="AE132" s="73">
        <f t="shared" si="76"/>
        <v>9.375</v>
      </c>
      <c r="AF132" s="71">
        <f t="shared" si="68"/>
        <v>14.328791875224461</v>
      </c>
      <c r="AG132" s="71">
        <f t="shared" si="85"/>
        <v>1.8067656341107869</v>
      </c>
      <c r="AH132" s="71">
        <f t="shared" si="86"/>
        <v>8.5840677291797274</v>
      </c>
      <c r="AI132" s="74">
        <f t="shared" si="69"/>
        <v>10.390833363290515</v>
      </c>
      <c r="AJ132" s="73">
        <f t="shared" si="70"/>
        <v>12.5</v>
      </c>
      <c r="AK132" s="71">
        <f t="shared" si="87"/>
        <v>16.545463692645928</v>
      </c>
      <c r="AL132" s="71">
        <f t="shared" si="88"/>
        <v>2.4090208454810487</v>
      </c>
      <c r="AM132" s="71">
        <f t="shared" si="95"/>
        <v>1.4388000000000003</v>
      </c>
      <c r="AN132" s="188">
        <f t="shared" si="89"/>
        <v>0.7411428571428571</v>
      </c>
      <c r="AO132" s="74">
        <f t="shared" si="72"/>
        <v>4.5889637026239063</v>
      </c>
      <c r="AP132" s="73">
        <f t="shared" si="90"/>
        <v>0.71859996811224491</v>
      </c>
      <c r="AQ132" s="206">
        <f t="shared" si="91"/>
        <v>0.66111197066326521</v>
      </c>
      <c r="AR132" s="206">
        <f t="shared" si="92"/>
        <v>0.88447929873185172</v>
      </c>
      <c r="AS132" s="71">
        <f t="shared" si="93"/>
        <v>0.19999999999999998</v>
      </c>
      <c r="AT132" s="74">
        <f t="shared" si="94"/>
        <v>3.96E-5</v>
      </c>
      <c r="AU132" s="73">
        <f t="shared" si="73"/>
        <v>18.105139874085044</v>
      </c>
      <c r="AV132" s="71">
        <f t="shared" si="74"/>
        <v>262.5</v>
      </c>
      <c r="AW132" s="74">
        <f t="shared" si="75"/>
        <v>93.547823150278248</v>
      </c>
    </row>
    <row r="133" spans="17:49" x14ac:dyDescent="0.25">
      <c r="Q133">
        <v>126</v>
      </c>
      <c r="R133" s="73">
        <f t="shared" si="49"/>
        <v>21</v>
      </c>
      <c r="S133" s="71">
        <f t="shared" si="79"/>
        <v>12.600000000000001</v>
      </c>
      <c r="T133" s="71">
        <f t="shared" si="51"/>
        <v>12</v>
      </c>
      <c r="U133" s="74">
        <f t="shared" si="80"/>
        <v>22.05</v>
      </c>
      <c r="V133" s="73">
        <f>IF(Variable_Management!$B$20=3,2,IF((S133*R133/T133)&lt;((T133*(1-(T133/R133)))/(2*Lm*Fsw)),1,2))</f>
        <v>2</v>
      </c>
      <c r="W133" s="71">
        <f t="shared" si="81"/>
        <v>0.4285714285714286</v>
      </c>
      <c r="X133" s="74">
        <f t="shared" si="82"/>
        <v>0.5714285714285714</v>
      </c>
      <c r="Y133" s="73">
        <f t="shared" si="83"/>
        <v>2.5714285714285716</v>
      </c>
      <c r="Z133" s="71">
        <f t="shared" si="77"/>
        <v>23.335714285714285</v>
      </c>
      <c r="AA133" s="71">
        <f t="shared" si="78"/>
        <v>22.06249125570735</v>
      </c>
      <c r="AB133" s="71">
        <v>0</v>
      </c>
      <c r="AC133" s="71">
        <f t="shared" si="84"/>
        <v>0.67171985816326529</v>
      </c>
      <c r="AD133" s="74">
        <f t="shared" si="67"/>
        <v>0.67171985816326529</v>
      </c>
      <c r="AE133" s="73">
        <f t="shared" si="76"/>
        <v>9.4500000000000011</v>
      </c>
      <c r="AF133" s="71">
        <f t="shared" si="68"/>
        <v>14.443290885511464</v>
      </c>
      <c r="AG133" s="71">
        <f t="shared" si="85"/>
        <v>1.8357561341107873</v>
      </c>
      <c r="AH133" s="71">
        <f t="shared" si="86"/>
        <v>8.6527402710131653</v>
      </c>
      <c r="AI133" s="74">
        <f t="shared" si="69"/>
        <v>10.488496405123954</v>
      </c>
      <c r="AJ133" s="73">
        <f t="shared" si="70"/>
        <v>12.6</v>
      </c>
      <c r="AK133" s="71">
        <f t="shared" si="87"/>
        <v>16.677675761468223</v>
      </c>
      <c r="AL133" s="71">
        <f t="shared" si="88"/>
        <v>2.4476748454810493</v>
      </c>
      <c r="AM133" s="71">
        <f t="shared" si="95"/>
        <v>1.4388000000000003</v>
      </c>
      <c r="AN133" s="188">
        <f t="shared" si="89"/>
        <v>0.74674285714285715</v>
      </c>
      <c r="AO133" s="74">
        <f t="shared" si="72"/>
        <v>4.6332177026239068</v>
      </c>
      <c r="AP133" s="73">
        <f t="shared" si="90"/>
        <v>0.73013028061224494</v>
      </c>
      <c r="AQ133" s="206">
        <f t="shared" si="91"/>
        <v>0.67171985816326529</v>
      </c>
      <c r="AR133" s="206">
        <f t="shared" si="92"/>
        <v>0.88447929873185172</v>
      </c>
      <c r="AS133" s="71">
        <f t="shared" si="93"/>
        <v>0.19999999999999998</v>
      </c>
      <c r="AT133" s="74">
        <f t="shared" si="94"/>
        <v>3.96E-5</v>
      </c>
      <c r="AU133" s="73">
        <f t="shared" si="73"/>
        <v>18.279803003418486</v>
      </c>
      <c r="AV133" s="71">
        <f t="shared" si="74"/>
        <v>264.60000000000002</v>
      </c>
      <c r="AW133" s="74">
        <f t="shared" si="75"/>
        <v>93.537961067090549</v>
      </c>
    </row>
    <row r="134" spans="17:49" x14ac:dyDescent="0.25">
      <c r="Q134">
        <v>127</v>
      </c>
      <c r="R134" s="73">
        <f t="shared" si="49"/>
        <v>21</v>
      </c>
      <c r="S134" s="71">
        <f t="shared" si="79"/>
        <v>12.700000000000001</v>
      </c>
      <c r="T134" s="71">
        <f t="shared" si="51"/>
        <v>12</v>
      </c>
      <c r="U134" s="74">
        <f t="shared" si="80"/>
        <v>22.225000000000005</v>
      </c>
      <c r="V134" s="73">
        <f>IF(Variable_Management!$B$20=3,2,IF((S134*R134/T134)&lt;((T134*(1-(T134/R134)))/(2*Lm*Fsw)),1,2))</f>
        <v>2</v>
      </c>
      <c r="W134" s="71">
        <f t="shared" si="81"/>
        <v>0.4285714285714286</v>
      </c>
      <c r="X134" s="74">
        <f t="shared" si="82"/>
        <v>0.5714285714285714</v>
      </c>
      <c r="Y134" s="73">
        <f t="shared" si="83"/>
        <v>2.5714285714285716</v>
      </c>
      <c r="Z134" s="71">
        <f t="shared" si="77"/>
        <v>23.51071428571429</v>
      </c>
      <c r="AA134" s="71">
        <f t="shared" si="78"/>
        <v>22.237392954394711</v>
      </c>
      <c r="AB134" s="71">
        <v>0</v>
      </c>
      <c r="AC134" s="71">
        <f t="shared" si="84"/>
        <v>0.68241227066326571</v>
      </c>
      <c r="AD134" s="74">
        <f t="shared" si="67"/>
        <v>0.68241227066326571</v>
      </c>
      <c r="AE134" s="73">
        <f t="shared" si="76"/>
        <v>9.5250000000000021</v>
      </c>
      <c r="AF134" s="71">
        <f t="shared" si="68"/>
        <v>14.557790924570206</v>
      </c>
      <c r="AG134" s="71">
        <f t="shared" si="85"/>
        <v>1.8649776341107884</v>
      </c>
      <c r="AH134" s="71">
        <f t="shared" si="86"/>
        <v>8.7214128128466051</v>
      </c>
      <c r="AI134" s="74">
        <f t="shared" si="69"/>
        <v>10.586390446957394</v>
      </c>
      <c r="AJ134" s="73">
        <f t="shared" si="70"/>
        <v>12.700000000000003</v>
      </c>
      <c r="AK134" s="71">
        <f t="shared" si="87"/>
        <v>16.809889018213795</v>
      </c>
      <c r="AL134" s="71">
        <f t="shared" si="88"/>
        <v>2.4866368454810499</v>
      </c>
      <c r="AM134" s="71">
        <f t="shared" si="95"/>
        <v>1.4388000000000003</v>
      </c>
      <c r="AN134" s="188">
        <f t="shared" si="89"/>
        <v>0.75234285714285731</v>
      </c>
      <c r="AO134" s="74">
        <f t="shared" si="72"/>
        <v>4.6777797026239076</v>
      </c>
      <c r="AP134" s="73">
        <f t="shared" si="90"/>
        <v>0.74175246811224538</v>
      </c>
      <c r="AQ134" s="206">
        <f t="shared" si="91"/>
        <v>0.68241227066326571</v>
      </c>
      <c r="AR134" s="206">
        <f t="shared" si="92"/>
        <v>0.88447929873185172</v>
      </c>
      <c r="AS134" s="71">
        <f t="shared" si="93"/>
        <v>0.19999999999999998</v>
      </c>
      <c r="AT134" s="74">
        <f t="shared" si="94"/>
        <v>3.96E-5</v>
      </c>
      <c r="AU134" s="73">
        <f t="shared" si="73"/>
        <v>18.455266057751931</v>
      </c>
      <c r="AV134" s="71">
        <f t="shared" si="74"/>
        <v>266.70000000000005</v>
      </c>
      <c r="AW134" s="74">
        <f t="shared" si="75"/>
        <v>93.527993954698971</v>
      </c>
    </row>
    <row r="135" spans="17:49" x14ac:dyDescent="0.25">
      <c r="Q135">
        <v>128</v>
      </c>
      <c r="R135" s="73">
        <f t="shared" ref="R135:R157" si="96">VOUT</f>
        <v>21</v>
      </c>
      <c r="S135" s="71">
        <f t="shared" ref="S135:S157" si="97">Q135*$O$12</f>
        <v>12.8</v>
      </c>
      <c r="T135" s="71">
        <f t="shared" ref="T135:T157" si="98">VIN_var</f>
        <v>12</v>
      </c>
      <c r="U135" s="74">
        <f t="shared" ref="U135:U157" si="99">(R135*S135)/(T135*EFF_est)</f>
        <v>22.400000000000002</v>
      </c>
      <c r="V135" s="73">
        <f>IF(Variable_Management!$B$20=3,2,IF((S135*R135/T135)&lt;((T135*(1-(T135/R135)))/(2*Lm*Fsw)),1,2))</f>
        <v>2</v>
      </c>
      <c r="W135" s="71">
        <f t="shared" ref="W135:W157" si="100">CHOOSE(V135,SQRT((2*S135*Lm*Fsw*(R135-T135))/((T135)^2)),1-(T135/R135))</f>
        <v>0.4285714285714286</v>
      </c>
      <c r="X135" s="74">
        <f t="shared" ref="X135:X157" si="101">CHOOSE(V135,(Lm*Z135*Fsw)/(R135-T135),1-W135)</f>
        <v>0.5714285714285714</v>
      </c>
      <c r="Y135" s="73">
        <f t="shared" ref="Y135:Y157" si="102">(T135*W135)/(Lm*Fsw)</f>
        <v>2.5714285714285716</v>
      </c>
      <c r="Z135" s="71">
        <f t="shared" si="77"/>
        <v>23.685714285714287</v>
      </c>
      <c r="AA135" s="71">
        <f t="shared" si="78"/>
        <v>22.412296187766291</v>
      </c>
      <c r="AB135" s="71">
        <v>0</v>
      </c>
      <c r="AC135" s="71">
        <f t="shared" ref="AC135:AC157" si="103">(AA135^2)*Rdcr</f>
        <v>0.69318920816326546</v>
      </c>
      <c r="AD135" s="74">
        <f t="shared" si="67"/>
        <v>0.69318920816326546</v>
      </c>
      <c r="AE135" s="73">
        <f t="shared" si="76"/>
        <v>9.6000000000000014</v>
      </c>
      <c r="AF135" s="71">
        <f t="shared" si="68"/>
        <v>14.672291968315603</v>
      </c>
      <c r="AG135" s="71">
        <f t="shared" ref="AG135:AG157" si="104">(AF135^2)*RDS_on</f>
        <v>1.8944301341107874</v>
      </c>
      <c r="AH135" s="71">
        <f t="shared" ref="AH135:AH157" si="105">((R135*U135)/2)*Fsw*(tr_sw+tf_sw)</f>
        <v>8.790085354680043</v>
      </c>
      <c r="AI135" s="74">
        <f t="shared" si="69"/>
        <v>10.684515488790831</v>
      </c>
      <c r="AJ135" s="73">
        <f t="shared" si="70"/>
        <v>12.8</v>
      </c>
      <c r="AK135" s="71">
        <f t="shared" ref="AK135:AK157" si="106">CHOOSE(V135,Z135*SQRT(X135/3),SQRT(X135*((Z135^2)+((Y135^2)/3)-(Y135*Z135))))</f>
        <v>16.942103435071594</v>
      </c>
      <c r="AL135" s="71">
        <f t="shared" ref="AL135:AL157" si="107">(AK135^2)*RDS_on_HS</f>
        <v>2.5259068454810496</v>
      </c>
      <c r="AM135" s="71">
        <f t="shared" si="95"/>
        <v>1.4388000000000003</v>
      </c>
      <c r="AN135" s="188">
        <f t="shared" ref="AN135:AN157" si="108">Vd_rect*t_dead*Fsw*Z135</f>
        <v>0.75794285714285714</v>
      </c>
      <c r="AO135" s="74">
        <f t="shared" si="72"/>
        <v>4.7226497026239072</v>
      </c>
      <c r="AP135" s="73">
        <f t="shared" ref="AP135:AP157" si="109">(AA135^2)*R_cs</f>
        <v>0.75346653061224511</v>
      </c>
      <c r="AQ135" s="206">
        <f t="shared" ref="AQ135:AQ157" si="110">Rdcr*AA135^2</f>
        <v>0.69318920816326546</v>
      </c>
      <c r="AR135" s="206">
        <f t="shared" ref="AR135:AR157" si="111">ABS(7.759*10^-3*Fsw^0.9458*(0.00787*Y135)^2.304)</f>
        <v>0.88447929873185172</v>
      </c>
      <c r="AS135" s="71">
        <f t="shared" ref="AS135:AS157" si="112">(Qg_tot+Qg_tot_HS)*Vcc*Fsw</f>
        <v>0.19999999999999998</v>
      </c>
      <c r="AT135" s="74">
        <f t="shared" ref="AT135:AT157" si="113">IQ*T135</f>
        <v>3.96E-5</v>
      </c>
      <c r="AU135" s="73">
        <f t="shared" si="73"/>
        <v>18.631529037085365</v>
      </c>
      <c r="AV135" s="71">
        <f t="shared" si="74"/>
        <v>268.8</v>
      </c>
      <c r="AW135" s="74">
        <f t="shared" si="75"/>
        <v>93.517924390722811</v>
      </c>
    </row>
    <row r="136" spans="17:49" x14ac:dyDescent="0.25">
      <c r="Q136">
        <v>129</v>
      </c>
      <c r="R136" s="73">
        <f t="shared" si="96"/>
        <v>21</v>
      </c>
      <c r="S136" s="71">
        <f t="shared" si="97"/>
        <v>12.9</v>
      </c>
      <c r="T136" s="71">
        <f t="shared" si="98"/>
        <v>12</v>
      </c>
      <c r="U136" s="74">
        <f t="shared" si="99"/>
        <v>22.575000000000003</v>
      </c>
      <c r="V136" s="73">
        <f>IF(Variable_Management!$B$20=3,2,IF((S136*R136/T136)&lt;((T136*(1-(T136/R136)))/(2*Lm*Fsw)),1,2))</f>
        <v>2</v>
      </c>
      <c r="W136" s="71">
        <f t="shared" si="100"/>
        <v>0.4285714285714286</v>
      </c>
      <c r="X136" s="74">
        <f t="shared" si="101"/>
        <v>0.5714285714285714</v>
      </c>
      <c r="Y136" s="73">
        <f t="shared" si="102"/>
        <v>2.5714285714285716</v>
      </c>
      <c r="Z136" s="71">
        <f t="shared" si="77"/>
        <v>23.860714285714288</v>
      </c>
      <c r="AA136" s="71">
        <f t="shared" si="78"/>
        <v>22.587200920170773</v>
      </c>
      <c r="AB136" s="71">
        <v>0</v>
      </c>
      <c r="AC136" s="71">
        <f t="shared" si="103"/>
        <v>0.70405067066326543</v>
      </c>
      <c r="AD136" s="74">
        <f t="shared" ref="AD136:AD157" si="114">AB136+AC136</f>
        <v>0.70405067066326543</v>
      </c>
      <c r="AE136" s="73">
        <f t="shared" si="76"/>
        <v>9.6750000000000025</v>
      </c>
      <c r="AF136" s="71">
        <f t="shared" ref="AF136:AF157" si="115">CHOOSE(V136,Z136*SQRT(W136/3),SQRT(W136*((Z136^2)+((Y136^2)/3)-(Z136*Y136))))</f>
        <v>14.786793993408393</v>
      </c>
      <c r="AG136" s="71">
        <f t="shared" si="104"/>
        <v>1.9241136341107874</v>
      </c>
      <c r="AH136" s="71">
        <f t="shared" si="105"/>
        <v>8.858757896513481</v>
      </c>
      <c r="AI136" s="74">
        <f t="shared" ref="AI136:AI157" si="116">AG136+AH136</f>
        <v>10.782871530624268</v>
      </c>
      <c r="AJ136" s="73">
        <f t="shared" ref="AJ136:AJ156" si="117">X136*U136</f>
        <v>12.9</v>
      </c>
      <c r="AK136" s="71">
        <f t="shared" si="106"/>
        <v>17.074318985091754</v>
      </c>
      <c r="AL136" s="71">
        <f t="shared" si="107"/>
        <v>2.5654848454810497</v>
      </c>
      <c r="AM136" s="71">
        <f t="shared" ref="AM136:AM157" si="118">CHOOSE(V136,(R136+Vd_rect)*Qrr*Fsw,(R136+Vd_rect)*Qrr*Fsw)</f>
        <v>1.4388000000000003</v>
      </c>
      <c r="AN136" s="188">
        <f t="shared" si="108"/>
        <v>0.76354285714285719</v>
      </c>
      <c r="AO136" s="74">
        <f t="shared" ref="AO136:AO157" si="119">AL136+AM136+AN136</f>
        <v>4.7678277026239071</v>
      </c>
      <c r="AP136" s="73">
        <f t="shared" si="109"/>
        <v>0.76527246811224503</v>
      </c>
      <c r="AQ136" s="206">
        <f t="shared" si="110"/>
        <v>0.70405067066326543</v>
      </c>
      <c r="AR136" s="206">
        <f t="shared" si="111"/>
        <v>0.88447929873185172</v>
      </c>
      <c r="AS136" s="71">
        <f t="shared" si="112"/>
        <v>0.19999999999999998</v>
      </c>
      <c r="AT136" s="74">
        <f t="shared" si="113"/>
        <v>3.96E-5</v>
      </c>
      <c r="AU136" s="73">
        <f t="shared" ref="AU136:AU157" si="120">AP136+AO136+AI136+AD136+AS136+AT136+AQ136+AR136</f>
        <v>18.808591941418801</v>
      </c>
      <c r="AV136" s="71">
        <f t="shared" ref="AV136:AV157" si="121">R136*S136</f>
        <v>270.90000000000003</v>
      </c>
      <c r="AW136" s="74">
        <f t="shared" ref="AW136:AW156" si="122">(AV136/(AV136+AU136))*100</f>
        <v>93.507754873482654</v>
      </c>
    </row>
    <row r="137" spans="17:49" x14ac:dyDescent="0.25">
      <c r="Q137">
        <v>130</v>
      </c>
      <c r="R137" s="73">
        <f t="shared" si="96"/>
        <v>21</v>
      </c>
      <c r="S137" s="71">
        <f t="shared" si="97"/>
        <v>13</v>
      </c>
      <c r="T137" s="71">
        <f t="shared" si="98"/>
        <v>12</v>
      </c>
      <c r="U137" s="74">
        <f t="shared" si="99"/>
        <v>22.75</v>
      </c>
      <c r="V137" s="73">
        <f>IF(Variable_Management!$B$20=3,2,IF((S137*R137/T137)&lt;((T137*(1-(T137/R137)))/(2*Lm*Fsw)),1,2))</f>
        <v>2</v>
      </c>
      <c r="W137" s="71">
        <f t="shared" si="100"/>
        <v>0.4285714285714286</v>
      </c>
      <c r="X137" s="74">
        <f t="shared" si="101"/>
        <v>0.5714285714285714</v>
      </c>
      <c r="Y137" s="73">
        <f t="shared" si="102"/>
        <v>2.5714285714285716</v>
      </c>
      <c r="Z137" s="71">
        <f t="shared" si="77"/>
        <v>24.035714285714285</v>
      </c>
      <c r="AA137" s="71">
        <f t="shared" si="78"/>
        <v>22.762107117052306</v>
      </c>
      <c r="AB137" s="71">
        <v>0</v>
      </c>
      <c r="AC137" s="71">
        <f t="shared" si="103"/>
        <v>0.7149966581632653</v>
      </c>
      <c r="AD137" s="74">
        <f t="shared" si="114"/>
        <v>0.7149966581632653</v>
      </c>
      <c r="AE137" s="73">
        <f t="shared" ref="AE137:AE157" si="123">U137*W137</f>
        <v>9.75</v>
      </c>
      <c r="AF137" s="71">
        <f t="shared" si="115"/>
        <v>14.901296977226462</v>
      </c>
      <c r="AG137" s="71">
        <f t="shared" si="104"/>
        <v>1.9540281341107868</v>
      </c>
      <c r="AH137" s="71">
        <f t="shared" si="105"/>
        <v>8.9274304383469172</v>
      </c>
      <c r="AI137" s="74">
        <f t="shared" si="116"/>
        <v>10.881458572457705</v>
      </c>
      <c r="AJ137" s="73">
        <f t="shared" si="117"/>
        <v>13</v>
      </c>
      <c r="AK137" s="71">
        <f t="shared" si="106"/>
        <v>17.20653564215251</v>
      </c>
      <c r="AL137" s="71">
        <f t="shared" si="107"/>
        <v>2.6053708454810494</v>
      </c>
      <c r="AM137" s="71">
        <f t="shared" si="118"/>
        <v>1.4388000000000003</v>
      </c>
      <c r="AN137" s="188">
        <f t="shared" si="108"/>
        <v>0.76914285714285713</v>
      </c>
      <c r="AO137" s="74">
        <f t="shared" si="119"/>
        <v>4.8133137026239066</v>
      </c>
      <c r="AP137" s="73">
        <f t="shared" si="109"/>
        <v>0.77717028061224491</v>
      </c>
      <c r="AQ137" s="206">
        <f t="shared" si="110"/>
        <v>0.7149966581632653</v>
      </c>
      <c r="AR137" s="206">
        <f t="shared" si="111"/>
        <v>0.88447929873185172</v>
      </c>
      <c r="AS137" s="71">
        <f t="shared" si="112"/>
        <v>0.19999999999999998</v>
      </c>
      <c r="AT137" s="74">
        <f t="shared" si="113"/>
        <v>3.96E-5</v>
      </c>
      <c r="AU137" s="73">
        <f t="shared" si="120"/>
        <v>18.986454770752239</v>
      </c>
      <c r="AV137" s="71">
        <f t="shared" si="121"/>
        <v>273</v>
      </c>
      <c r="AW137" s="74">
        <f t="shared" si="122"/>
        <v>93.497487825022873</v>
      </c>
    </row>
    <row r="138" spans="17:49" x14ac:dyDescent="0.25">
      <c r="Q138">
        <v>131</v>
      </c>
      <c r="R138" s="73">
        <f t="shared" si="96"/>
        <v>21</v>
      </c>
      <c r="S138" s="71">
        <f t="shared" si="97"/>
        <v>13.100000000000001</v>
      </c>
      <c r="T138" s="71">
        <f t="shared" si="98"/>
        <v>12</v>
      </c>
      <c r="U138" s="74">
        <f t="shared" si="99"/>
        <v>22.925000000000001</v>
      </c>
      <c r="V138" s="73">
        <f>IF(Variable_Management!$B$20=3,2,IF((S138*R138/T138)&lt;((T138*(1-(T138/R138)))/(2*Lm*Fsw)),1,2))</f>
        <v>2</v>
      </c>
      <c r="W138" s="71">
        <f t="shared" si="100"/>
        <v>0.4285714285714286</v>
      </c>
      <c r="X138" s="74">
        <f t="shared" si="101"/>
        <v>0.5714285714285714</v>
      </c>
      <c r="Y138" s="73">
        <f t="shared" si="102"/>
        <v>2.5714285714285716</v>
      </c>
      <c r="Z138" s="71">
        <f t="shared" si="77"/>
        <v>24.210714285714285</v>
      </c>
      <c r="AA138" s="71">
        <f t="shared" si="78"/>
        <v>22.93701474490879</v>
      </c>
      <c r="AB138" s="71">
        <v>0</v>
      </c>
      <c r="AC138" s="71">
        <f t="shared" si="103"/>
        <v>0.72602717066326516</v>
      </c>
      <c r="AD138" s="74">
        <f t="shared" si="114"/>
        <v>0.72602717066326516</v>
      </c>
      <c r="AE138" s="73">
        <f t="shared" si="123"/>
        <v>9.8250000000000011</v>
      </c>
      <c r="AF138" s="71">
        <f t="shared" si="115"/>
        <v>15.015800897837536</v>
      </c>
      <c r="AG138" s="71">
        <f t="shared" si="104"/>
        <v>1.9841736341107874</v>
      </c>
      <c r="AH138" s="71">
        <f t="shared" si="105"/>
        <v>8.9961029801803551</v>
      </c>
      <c r="AI138" s="74">
        <f t="shared" si="116"/>
        <v>10.980276614291142</v>
      </c>
      <c r="AJ138" s="73">
        <f t="shared" si="117"/>
        <v>13.1</v>
      </c>
      <c r="AK138" s="71">
        <f t="shared" si="106"/>
        <v>17.338753380928651</v>
      </c>
      <c r="AL138" s="71">
        <f t="shared" si="107"/>
        <v>2.6455648454810499</v>
      </c>
      <c r="AM138" s="71">
        <f t="shared" si="118"/>
        <v>1.4388000000000003</v>
      </c>
      <c r="AN138" s="188">
        <f t="shared" si="108"/>
        <v>0.77474285714285718</v>
      </c>
      <c r="AO138" s="74">
        <f t="shared" si="119"/>
        <v>4.8591077026239073</v>
      </c>
      <c r="AP138" s="73">
        <f t="shared" si="109"/>
        <v>0.78915996811224487</v>
      </c>
      <c r="AQ138" s="206">
        <f t="shared" si="110"/>
        <v>0.72602717066326516</v>
      </c>
      <c r="AR138" s="206">
        <f t="shared" si="111"/>
        <v>0.88447929873185172</v>
      </c>
      <c r="AS138" s="71">
        <f t="shared" si="112"/>
        <v>0.19999999999999998</v>
      </c>
      <c r="AT138" s="74">
        <f t="shared" si="113"/>
        <v>3.96E-5</v>
      </c>
      <c r="AU138" s="73">
        <f t="shared" si="120"/>
        <v>19.165117525085677</v>
      </c>
      <c r="AV138" s="71">
        <f t="shared" si="121"/>
        <v>275.10000000000002</v>
      </c>
      <c r="AW138" s="74">
        <f t="shared" si="122"/>
        <v>93.487125593997092</v>
      </c>
    </row>
    <row r="139" spans="17:49" x14ac:dyDescent="0.25">
      <c r="Q139">
        <v>132</v>
      </c>
      <c r="R139" s="73">
        <f t="shared" si="96"/>
        <v>21</v>
      </c>
      <c r="S139" s="71">
        <f t="shared" si="97"/>
        <v>13.200000000000001</v>
      </c>
      <c r="T139" s="71">
        <f t="shared" si="98"/>
        <v>12</v>
      </c>
      <c r="U139" s="74">
        <f t="shared" si="99"/>
        <v>23.100000000000005</v>
      </c>
      <c r="V139" s="73">
        <f>IF(Variable_Management!$B$20=3,2,IF((S139*R139/T139)&lt;((T139*(1-(T139/R139)))/(2*Lm*Fsw)),1,2))</f>
        <v>2</v>
      </c>
      <c r="W139" s="71">
        <f t="shared" si="100"/>
        <v>0.4285714285714286</v>
      </c>
      <c r="X139" s="74">
        <f t="shared" si="101"/>
        <v>0.5714285714285714</v>
      </c>
      <c r="Y139" s="73">
        <f t="shared" si="102"/>
        <v>2.5714285714285716</v>
      </c>
      <c r="Z139" s="71">
        <f t="shared" si="77"/>
        <v>24.38571428571429</v>
      </c>
      <c r="AA139" s="71">
        <f t="shared" si="78"/>
        <v>23.111923771252005</v>
      </c>
      <c r="AB139" s="71">
        <v>0</v>
      </c>
      <c r="AC139" s="71">
        <f t="shared" si="103"/>
        <v>0.73714220816326559</v>
      </c>
      <c r="AD139" s="74">
        <f t="shared" si="114"/>
        <v>0.73714220816326559</v>
      </c>
      <c r="AE139" s="73">
        <f t="shared" si="123"/>
        <v>9.9000000000000021</v>
      </c>
      <c r="AF139" s="71">
        <f t="shared" si="115"/>
        <v>15.130305733973078</v>
      </c>
      <c r="AG139" s="71">
        <f t="shared" si="104"/>
        <v>2.0145501341107876</v>
      </c>
      <c r="AH139" s="71">
        <f t="shared" si="105"/>
        <v>9.0647755220137949</v>
      </c>
      <c r="AI139" s="74">
        <f t="shared" si="116"/>
        <v>11.079325656124583</v>
      </c>
      <c r="AJ139" s="73">
        <f t="shared" si="117"/>
        <v>13.200000000000003</v>
      </c>
      <c r="AK139" s="71">
        <f t="shared" si="106"/>
        <v>17.470972176861387</v>
      </c>
      <c r="AL139" s="71">
        <f t="shared" si="107"/>
        <v>2.6860668454810499</v>
      </c>
      <c r="AM139" s="71">
        <f t="shared" si="118"/>
        <v>1.4388000000000003</v>
      </c>
      <c r="AN139" s="188">
        <f t="shared" si="108"/>
        <v>0.78034285714285734</v>
      </c>
      <c r="AO139" s="74">
        <f t="shared" si="119"/>
        <v>4.9052097026239077</v>
      </c>
      <c r="AP139" s="73">
        <f t="shared" si="109"/>
        <v>0.80124153061224523</v>
      </c>
      <c r="AQ139" s="206">
        <f t="shared" si="110"/>
        <v>0.73714220816326559</v>
      </c>
      <c r="AR139" s="206">
        <f t="shared" si="111"/>
        <v>0.88447929873185172</v>
      </c>
      <c r="AS139" s="71">
        <f t="shared" si="112"/>
        <v>0.19999999999999998</v>
      </c>
      <c r="AT139" s="74">
        <f t="shared" si="113"/>
        <v>3.96E-5</v>
      </c>
      <c r="AU139" s="73">
        <f t="shared" si="120"/>
        <v>19.34458020441912</v>
      </c>
      <c r="AV139" s="71">
        <f t="shared" si="121"/>
        <v>277.20000000000005</v>
      </c>
      <c r="AW139" s="74">
        <f t="shared" si="122"/>
        <v>93.476670458423428</v>
      </c>
    </row>
    <row r="140" spans="17:49" x14ac:dyDescent="0.25">
      <c r="Q140">
        <v>133</v>
      </c>
      <c r="R140" s="73">
        <f t="shared" si="96"/>
        <v>21</v>
      </c>
      <c r="S140" s="71">
        <f t="shared" si="97"/>
        <v>13.3</v>
      </c>
      <c r="T140" s="71">
        <f t="shared" si="98"/>
        <v>12</v>
      </c>
      <c r="U140" s="74">
        <f t="shared" si="99"/>
        <v>23.275000000000002</v>
      </c>
      <c r="V140" s="73">
        <f>IF(Variable_Management!$B$20=3,2,IF((S140*R140/T140)&lt;((T140*(1-(T140/R140)))/(2*Lm*Fsw)),1,2))</f>
        <v>2</v>
      </c>
      <c r="W140" s="71">
        <f t="shared" si="100"/>
        <v>0.4285714285714286</v>
      </c>
      <c r="X140" s="74">
        <f t="shared" si="101"/>
        <v>0.5714285714285714</v>
      </c>
      <c r="Y140" s="73">
        <f t="shared" si="102"/>
        <v>2.5714285714285716</v>
      </c>
      <c r="Z140" s="71">
        <f t="shared" si="77"/>
        <v>24.560714285714287</v>
      </c>
      <c r="AA140" s="71">
        <f t="shared" si="78"/>
        <v>23.286834164569544</v>
      </c>
      <c r="AB140" s="71">
        <v>0</v>
      </c>
      <c r="AC140" s="71">
        <f t="shared" si="103"/>
        <v>0.74834177066326546</v>
      </c>
      <c r="AD140" s="74">
        <f t="shared" si="114"/>
        <v>0.74834177066326546</v>
      </c>
      <c r="AE140" s="73">
        <f t="shared" si="123"/>
        <v>9.9750000000000014</v>
      </c>
      <c r="AF140" s="71">
        <f t="shared" si="115"/>
        <v>15.24481146500338</v>
      </c>
      <c r="AG140" s="71">
        <f t="shared" si="104"/>
        <v>2.0451576341107871</v>
      </c>
      <c r="AH140" s="71">
        <f t="shared" si="105"/>
        <v>9.1334480638472328</v>
      </c>
      <c r="AI140" s="74">
        <f t="shared" si="116"/>
        <v>11.17860569795802</v>
      </c>
      <c r="AJ140" s="73">
        <f t="shared" si="117"/>
        <v>13.3</v>
      </c>
      <c r="AK140" s="71">
        <f t="shared" si="106"/>
        <v>17.603192006129589</v>
      </c>
      <c r="AL140" s="71">
        <f t="shared" si="107"/>
        <v>2.7268768454810495</v>
      </c>
      <c r="AM140" s="71">
        <f t="shared" si="118"/>
        <v>1.4388000000000003</v>
      </c>
      <c r="AN140" s="188">
        <f t="shared" si="108"/>
        <v>0.78594285714285717</v>
      </c>
      <c r="AO140" s="74">
        <f t="shared" si="119"/>
        <v>4.9516197026239075</v>
      </c>
      <c r="AP140" s="73">
        <f t="shared" si="109"/>
        <v>0.81341496811224512</v>
      </c>
      <c r="AQ140" s="206">
        <f t="shared" si="110"/>
        <v>0.74834177066326546</v>
      </c>
      <c r="AR140" s="206">
        <f t="shared" si="111"/>
        <v>0.88447929873185172</v>
      </c>
      <c r="AS140" s="71">
        <f t="shared" si="112"/>
        <v>0.19999999999999998</v>
      </c>
      <c r="AT140" s="74">
        <f t="shared" si="113"/>
        <v>3.96E-5</v>
      </c>
      <c r="AU140" s="73">
        <f t="shared" si="120"/>
        <v>19.524842808752556</v>
      </c>
      <c r="AV140" s="71">
        <f t="shared" si="121"/>
        <v>279.3</v>
      </c>
      <c r="AW140" s="74">
        <f t="shared" si="122"/>
        <v>93.466124628316649</v>
      </c>
    </row>
    <row r="141" spans="17:49" x14ac:dyDescent="0.25">
      <c r="Q141">
        <v>134</v>
      </c>
      <c r="R141" s="73">
        <f t="shared" si="96"/>
        <v>21</v>
      </c>
      <c r="S141" s="71">
        <f t="shared" si="97"/>
        <v>13.4</v>
      </c>
      <c r="T141" s="71">
        <f t="shared" si="98"/>
        <v>12</v>
      </c>
      <c r="U141" s="74">
        <f t="shared" si="99"/>
        <v>23.450000000000003</v>
      </c>
      <c r="V141" s="73">
        <f>IF(Variable_Management!$B$20=3,2,IF((S141*R141/T141)&lt;((T141*(1-(T141/R141)))/(2*Lm*Fsw)),1,2))</f>
        <v>2</v>
      </c>
      <c r="W141" s="71">
        <f t="shared" si="100"/>
        <v>0.4285714285714286</v>
      </c>
      <c r="X141" s="74">
        <f t="shared" si="101"/>
        <v>0.5714285714285714</v>
      </c>
      <c r="Y141" s="73">
        <f t="shared" si="102"/>
        <v>2.5714285714285716</v>
      </c>
      <c r="Z141" s="71">
        <f t="shared" si="77"/>
        <v>24.735714285714288</v>
      </c>
      <c r="AA141" s="71">
        <f t="shared" si="78"/>
        <v>23.461745894288502</v>
      </c>
      <c r="AB141" s="71">
        <v>0</v>
      </c>
      <c r="AC141" s="71">
        <f t="shared" si="103"/>
        <v>0.75962585816326544</v>
      </c>
      <c r="AD141" s="74">
        <f t="shared" si="114"/>
        <v>0.75962585816326544</v>
      </c>
      <c r="AE141" s="73">
        <f t="shared" si="123"/>
        <v>10.050000000000002</v>
      </c>
      <c r="AF141" s="71">
        <f t="shared" si="115"/>
        <v>15.359318070913778</v>
      </c>
      <c r="AG141" s="71">
        <f t="shared" si="104"/>
        <v>2.0759961341107873</v>
      </c>
      <c r="AH141" s="71">
        <f t="shared" si="105"/>
        <v>9.202120605680669</v>
      </c>
      <c r="AI141" s="74">
        <f t="shared" si="116"/>
        <v>11.278116739791457</v>
      </c>
      <c r="AJ141" s="73">
        <f t="shared" si="117"/>
        <v>13.4</v>
      </c>
      <c r="AK141" s="71">
        <f t="shared" si="106"/>
        <v>17.735412845622307</v>
      </c>
      <c r="AL141" s="71">
        <f t="shared" si="107"/>
        <v>2.7679948454810495</v>
      </c>
      <c r="AM141" s="71">
        <f t="shared" si="118"/>
        <v>1.4388000000000003</v>
      </c>
      <c r="AN141" s="188">
        <f t="shared" si="108"/>
        <v>0.79154285714285721</v>
      </c>
      <c r="AO141" s="74">
        <f t="shared" si="119"/>
        <v>4.9983377026239069</v>
      </c>
      <c r="AP141" s="73">
        <f t="shared" si="109"/>
        <v>0.82568028061224508</v>
      </c>
      <c r="AQ141" s="206">
        <f t="shared" si="110"/>
        <v>0.75962585816326544</v>
      </c>
      <c r="AR141" s="206">
        <f t="shared" si="111"/>
        <v>0.88447929873185172</v>
      </c>
      <c r="AS141" s="71">
        <f t="shared" si="112"/>
        <v>0.19999999999999998</v>
      </c>
      <c r="AT141" s="74">
        <f t="shared" si="113"/>
        <v>3.96E-5</v>
      </c>
      <c r="AU141" s="73">
        <f t="shared" si="120"/>
        <v>19.705905338085991</v>
      </c>
      <c r="AV141" s="71">
        <f t="shared" si="121"/>
        <v>281.40000000000003</v>
      </c>
      <c r="AW141" s="74">
        <f t="shared" si="122"/>
        <v>93.45549024820356</v>
      </c>
    </row>
    <row r="142" spans="17:49" x14ac:dyDescent="0.25">
      <c r="Q142">
        <v>135</v>
      </c>
      <c r="R142" s="73">
        <f t="shared" si="96"/>
        <v>21</v>
      </c>
      <c r="S142" s="71">
        <f t="shared" si="97"/>
        <v>13.5</v>
      </c>
      <c r="T142" s="71">
        <f t="shared" si="98"/>
        <v>12</v>
      </c>
      <c r="U142" s="74">
        <f t="shared" si="99"/>
        <v>23.625</v>
      </c>
      <c r="V142" s="73">
        <f>IF(Variable_Management!$B$20=3,2,IF((S142*R142/T142)&lt;((T142*(1-(T142/R142)))/(2*Lm*Fsw)),1,2))</f>
        <v>2</v>
      </c>
      <c r="W142" s="71">
        <f t="shared" si="100"/>
        <v>0.4285714285714286</v>
      </c>
      <c r="X142" s="74">
        <f t="shared" si="101"/>
        <v>0.5714285714285714</v>
      </c>
      <c r="Y142" s="73">
        <f t="shared" si="102"/>
        <v>2.5714285714285716</v>
      </c>
      <c r="Z142" s="71">
        <f t="shared" si="77"/>
        <v>24.910714285714285</v>
      </c>
      <c r="AA142" s="71">
        <f t="shared" si="78"/>
        <v>23.636658930740683</v>
      </c>
      <c r="AB142" s="71">
        <v>0</v>
      </c>
      <c r="AC142" s="71">
        <f t="shared" si="103"/>
        <v>0.77099447066326521</v>
      </c>
      <c r="AD142" s="74">
        <f t="shared" si="114"/>
        <v>0.77099447066326521</v>
      </c>
      <c r="AE142" s="73">
        <f t="shared" si="123"/>
        <v>10.125</v>
      </c>
      <c r="AF142" s="71">
        <f t="shared" si="115"/>
        <v>15.473825532281877</v>
      </c>
      <c r="AG142" s="71">
        <f t="shared" si="104"/>
        <v>2.107065634110787</v>
      </c>
      <c r="AH142" s="71">
        <f t="shared" si="105"/>
        <v>9.270793147514107</v>
      </c>
      <c r="AI142" s="74">
        <f t="shared" si="116"/>
        <v>11.377858781624894</v>
      </c>
      <c r="AJ142" s="73">
        <f t="shared" si="117"/>
        <v>13.5</v>
      </c>
      <c r="AK142" s="71">
        <f t="shared" si="106"/>
        <v>17.867634672912491</v>
      </c>
      <c r="AL142" s="71">
        <f t="shared" si="107"/>
        <v>2.809420845481049</v>
      </c>
      <c r="AM142" s="71">
        <f t="shared" si="118"/>
        <v>1.4388000000000003</v>
      </c>
      <c r="AN142" s="188">
        <f t="shared" si="108"/>
        <v>0.79714285714285715</v>
      </c>
      <c r="AO142" s="74">
        <f t="shared" si="119"/>
        <v>5.0453637026239067</v>
      </c>
      <c r="AP142" s="73">
        <f t="shared" si="109"/>
        <v>0.83803746811224489</v>
      </c>
      <c r="AQ142" s="206">
        <f t="shared" si="110"/>
        <v>0.77099447066326521</v>
      </c>
      <c r="AR142" s="206">
        <f t="shared" si="111"/>
        <v>0.88447929873185172</v>
      </c>
      <c r="AS142" s="71">
        <f t="shared" si="112"/>
        <v>0.19999999999999998</v>
      </c>
      <c r="AT142" s="74">
        <f t="shared" si="113"/>
        <v>3.96E-5</v>
      </c>
      <c r="AU142" s="73">
        <f t="shared" si="120"/>
        <v>19.887767792419424</v>
      </c>
      <c r="AV142" s="71">
        <f t="shared" si="121"/>
        <v>283.5</v>
      </c>
      <c r="AW142" s="74">
        <f t="shared" si="122"/>
        <v>93.444769399527402</v>
      </c>
    </row>
    <row r="143" spans="17:49" x14ac:dyDescent="0.25">
      <c r="Q143">
        <v>136</v>
      </c>
      <c r="R143" s="73">
        <f t="shared" si="96"/>
        <v>21</v>
      </c>
      <c r="S143" s="71">
        <f t="shared" si="97"/>
        <v>13.600000000000001</v>
      </c>
      <c r="T143" s="71">
        <f t="shared" si="98"/>
        <v>12</v>
      </c>
      <c r="U143" s="74">
        <f t="shared" si="99"/>
        <v>23.8</v>
      </c>
      <c r="V143" s="73">
        <f>IF(Variable_Management!$B$20=3,2,IF((S143*R143/T143)&lt;((T143*(1-(T143/R143)))/(2*Lm*Fsw)),1,2))</f>
        <v>2</v>
      </c>
      <c r="W143" s="71">
        <f t="shared" si="100"/>
        <v>0.4285714285714286</v>
      </c>
      <c r="X143" s="74">
        <f t="shared" si="101"/>
        <v>0.5714285714285714</v>
      </c>
      <c r="Y143" s="73">
        <f t="shared" si="102"/>
        <v>2.5714285714285716</v>
      </c>
      <c r="Z143" s="71">
        <f t="shared" si="77"/>
        <v>25.085714285714285</v>
      </c>
      <c r="AA143" s="71">
        <f t="shared" si="78"/>
        <v>23.811573245129424</v>
      </c>
      <c r="AB143" s="71">
        <v>0</v>
      </c>
      <c r="AC143" s="71">
        <f t="shared" si="103"/>
        <v>0.78244760816326553</v>
      </c>
      <c r="AD143" s="74">
        <f t="shared" si="114"/>
        <v>0.78244760816326553</v>
      </c>
      <c r="AE143" s="73">
        <f t="shared" si="123"/>
        <v>10.200000000000001</v>
      </c>
      <c r="AF143" s="71">
        <f t="shared" si="115"/>
        <v>15.588333830255834</v>
      </c>
      <c r="AG143" s="71">
        <f t="shared" si="104"/>
        <v>2.1383661341107874</v>
      </c>
      <c r="AH143" s="71">
        <f t="shared" si="105"/>
        <v>9.339465689347545</v>
      </c>
      <c r="AI143" s="74">
        <f t="shared" si="116"/>
        <v>11.477831823458333</v>
      </c>
      <c r="AJ143" s="73">
        <f t="shared" si="117"/>
        <v>13.6</v>
      </c>
      <c r="AK143" s="71">
        <f t="shared" si="106"/>
        <v>17.999857466231912</v>
      </c>
      <c r="AL143" s="71">
        <f t="shared" si="107"/>
        <v>2.8511548454810494</v>
      </c>
      <c r="AM143" s="71">
        <f t="shared" si="118"/>
        <v>1.4388000000000003</v>
      </c>
      <c r="AN143" s="188">
        <f t="shared" si="108"/>
        <v>0.8027428571428572</v>
      </c>
      <c r="AO143" s="74">
        <f t="shared" si="119"/>
        <v>5.0926977026239069</v>
      </c>
      <c r="AP143" s="73">
        <f t="shared" si="109"/>
        <v>0.85048653061224511</v>
      </c>
      <c r="AQ143" s="206">
        <f t="shared" si="110"/>
        <v>0.78244760816326553</v>
      </c>
      <c r="AR143" s="206">
        <f t="shared" si="111"/>
        <v>0.88447929873185172</v>
      </c>
      <c r="AS143" s="71">
        <f t="shared" si="112"/>
        <v>0.19999999999999998</v>
      </c>
      <c r="AT143" s="74">
        <f t="shared" si="113"/>
        <v>3.96E-5</v>
      </c>
      <c r="AU143" s="73">
        <f t="shared" si="120"/>
        <v>20.070430171752868</v>
      </c>
      <c r="AV143" s="71">
        <f t="shared" si="121"/>
        <v>285.60000000000002</v>
      </c>
      <c r="AW143" s="74">
        <f t="shared" si="122"/>
        <v>93.433964102947243</v>
      </c>
    </row>
    <row r="144" spans="17:49" x14ac:dyDescent="0.25">
      <c r="Q144">
        <v>137</v>
      </c>
      <c r="R144" s="73">
        <f t="shared" si="96"/>
        <v>21</v>
      </c>
      <c r="S144" s="71">
        <f t="shared" si="97"/>
        <v>13.700000000000001</v>
      </c>
      <c r="T144" s="71">
        <f t="shared" si="98"/>
        <v>12</v>
      </c>
      <c r="U144" s="74">
        <f t="shared" si="99"/>
        <v>23.975000000000005</v>
      </c>
      <c r="V144" s="73">
        <f>IF(Variable_Management!$B$20=3,2,IF((S144*R144/T144)&lt;((T144*(1-(T144/R144)))/(2*Lm*Fsw)),1,2))</f>
        <v>2</v>
      </c>
      <c r="W144" s="71">
        <f t="shared" si="100"/>
        <v>0.4285714285714286</v>
      </c>
      <c r="X144" s="74">
        <f t="shared" si="101"/>
        <v>0.5714285714285714</v>
      </c>
      <c r="Y144" s="73">
        <f t="shared" si="102"/>
        <v>2.5714285714285716</v>
      </c>
      <c r="Z144" s="71">
        <f t="shared" ref="Z144:Z157" si="124">CHOOSE(V144,Y144,U144+(0.5*Y144))</f>
        <v>25.26071428571429</v>
      </c>
      <c r="AA144" s="71">
        <f t="shared" ref="AA144:AA157" si="125">CHOOSE(V144,Z144*SQRT((W144+X144)/3),SQRT((U144^2)+((Y144^2)/12)))</f>
        <v>23.986488809497807</v>
      </c>
      <c r="AB144" s="71">
        <v>0</v>
      </c>
      <c r="AC144" s="71">
        <f t="shared" si="103"/>
        <v>0.79398527066326563</v>
      </c>
      <c r="AD144" s="74">
        <f t="shared" si="114"/>
        <v>0.79398527066326563</v>
      </c>
      <c r="AE144" s="73">
        <f t="shared" si="123"/>
        <v>10.275000000000002</v>
      </c>
      <c r="AF144" s="71">
        <f t="shared" si="115"/>
        <v>15.702842946533556</v>
      </c>
      <c r="AG144" s="71">
        <f t="shared" si="104"/>
        <v>2.1698976341107881</v>
      </c>
      <c r="AH144" s="71">
        <f t="shared" si="105"/>
        <v>9.4081382311809829</v>
      </c>
      <c r="AI144" s="74">
        <f t="shared" si="116"/>
        <v>11.578035865291771</v>
      </c>
      <c r="AJ144" s="73">
        <f t="shared" si="117"/>
        <v>13.700000000000003</v>
      </c>
      <c r="AK144" s="71">
        <f t="shared" si="106"/>
        <v>18.132081204447129</v>
      </c>
      <c r="AL144" s="71">
        <f t="shared" si="107"/>
        <v>2.8931968454810506</v>
      </c>
      <c r="AM144" s="71">
        <f t="shared" si="118"/>
        <v>1.4388000000000003</v>
      </c>
      <c r="AN144" s="188">
        <f t="shared" si="108"/>
        <v>0.80834285714285725</v>
      </c>
      <c r="AO144" s="74">
        <f t="shared" si="119"/>
        <v>5.1403397026239084</v>
      </c>
      <c r="AP144" s="73">
        <f t="shared" si="109"/>
        <v>0.8630274681122454</v>
      </c>
      <c r="AQ144" s="206">
        <f t="shared" si="110"/>
        <v>0.79398527066326563</v>
      </c>
      <c r="AR144" s="206">
        <f t="shared" si="111"/>
        <v>0.88447929873185172</v>
      </c>
      <c r="AS144" s="71">
        <f t="shared" si="112"/>
        <v>0.19999999999999998</v>
      </c>
      <c r="AT144" s="74">
        <f t="shared" si="113"/>
        <v>3.96E-5</v>
      </c>
      <c r="AU144" s="73">
        <f t="shared" si="120"/>
        <v>20.25389247608631</v>
      </c>
      <c r="AV144" s="71">
        <f t="shared" si="121"/>
        <v>287.70000000000005</v>
      </c>
      <c r="AW144" s="74">
        <f t="shared" si="122"/>
        <v>93.423076320537461</v>
      </c>
    </row>
    <row r="145" spans="17:49" x14ac:dyDescent="0.25">
      <c r="Q145">
        <v>138</v>
      </c>
      <c r="R145" s="73">
        <f t="shared" si="96"/>
        <v>21</v>
      </c>
      <c r="S145" s="71">
        <f t="shared" si="97"/>
        <v>13.8</v>
      </c>
      <c r="T145" s="71">
        <f t="shared" si="98"/>
        <v>12</v>
      </c>
      <c r="U145" s="74">
        <f t="shared" si="99"/>
        <v>24.150000000000002</v>
      </c>
      <c r="V145" s="73">
        <f>IF(Variable_Management!$B$20=3,2,IF((S145*R145/T145)&lt;((T145*(1-(T145/R145)))/(2*Lm*Fsw)),1,2))</f>
        <v>2</v>
      </c>
      <c r="W145" s="71">
        <f t="shared" si="100"/>
        <v>0.4285714285714286</v>
      </c>
      <c r="X145" s="74">
        <f t="shared" si="101"/>
        <v>0.5714285714285714</v>
      </c>
      <c r="Y145" s="73">
        <f t="shared" si="102"/>
        <v>2.5714285714285716</v>
      </c>
      <c r="Z145" s="71">
        <f t="shared" si="124"/>
        <v>25.435714285714287</v>
      </c>
      <c r="AA145" s="71">
        <f t="shared" si="125"/>
        <v>24.161405596698287</v>
      </c>
      <c r="AB145" s="71">
        <v>0</v>
      </c>
      <c r="AC145" s="71">
        <f t="shared" si="103"/>
        <v>0.8056074581632654</v>
      </c>
      <c r="AD145" s="74">
        <f t="shared" si="114"/>
        <v>0.8056074581632654</v>
      </c>
      <c r="AE145" s="73">
        <f t="shared" si="123"/>
        <v>10.350000000000001</v>
      </c>
      <c r="AF145" s="71">
        <f t="shared" si="115"/>
        <v>15.817352863342796</v>
      </c>
      <c r="AG145" s="71">
        <f t="shared" si="104"/>
        <v>2.2016601341107873</v>
      </c>
      <c r="AH145" s="71">
        <f t="shared" si="105"/>
        <v>9.4768107730144209</v>
      </c>
      <c r="AI145" s="74">
        <f t="shared" si="116"/>
        <v>11.678470907125208</v>
      </c>
      <c r="AJ145" s="73">
        <f t="shared" si="117"/>
        <v>13.8</v>
      </c>
      <c r="AK145" s="71">
        <f t="shared" si="106"/>
        <v>18.264305867036519</v>
      </c>
      <c r="AL145" s="71">
        <f t="shared" si="107"/>
        <v>2.9355468454810487</v>
      </c>
      <c r="AM145" s="71">
        <f t="shared" si="118"/>
        <v>1.4388000000000003</v>
      </c>
      <c r="AN145" s="188">
        <f t="shared" si="108"/>
        <v>0.81394285714285719</v>
      </c>
      <c r="AO145" s="74">
        <f t="shared" si="119"/>
        <v>5.1882897026239059</v>
      </c>
      <c r="AP145" s="73">
        <f t="shared" si="109"/>
        <v>0.87566028061224499</v>
      </c>
      <c r="AQ145" s="206">
        <f t="shared" si="110"/>
        <v>0.8056074581632654</v>
      </c>
      <c r="AR145" s="206">
        <f t="shared" si="111"/>
        <v>0.88447929873185172</v>
      </c>
      <c r="AS145" s="71">
        <f t="shared" si="112"/>
        <v>0.19999999999999998</v>
      </c>
      <c r="AT145" s="74">
        <f t="shared" si="113"/>
        <v>3.96E-5</v>
      </c>
      <c r="AU145" s="73">
        <f t="shared" si="120"/>
        <v>20.438154705419741</v>
      </c>
      <c r="AV145" s="71">
        <f t="shared" si="121"/>
        <v>289.8</v>
      </c>
      <c r="AW145" s="74">
        <f t="shared" si="122"/>
        <v>93.412107957892431</v>
      </c>
    </row>
    <row r="146" spans="17:49" x14ac:dyDescent="0.25">
      <c r="Q146">
        <v>139</v>
      </c>
      <c r="R146" s="73">
        <f t="shared" si="96"/>
        <v>21</v>
      </c>
      <c r="S146" s="71">
        <f t="shared" si="97"/>
        <v>13.9</v>
      </c>
      <c r="T146" s="71">
        <f t="shared" si="98"/>
        <v>12</v>
      </c>
      <c r="U146" s="74">
        <f t="shared" si="99"/>
        <v>24.325000000000003</v>
      </c>
      <c r="V146" s="73">
        <f>IF(Variable_Management!$B$20=3,2,IF((S146*R146/T146)&lt;((T146*(1-(T146/R146)))/(2*Lm*Fsw)),1,2))</f>
        <v>2</v>
      </c>
      <c r="W146" s="71">
        <f t="shared" si="100"/>
        <v>0.4285714285714286</v>
      </c>
      <c r="X146" s="74">
        <f t="shared" si="101"/>
        <v>0.5714285714285714</v>
      </c>
      <c r="Y146" s="73">
        <f t="shared" si="102"/>
        <v>2.5714285714285716</v>
      </c>
      <c r="Z146" s="71">
        <f t="shared" si="124"/>
        <v>25.610714285714288</v>
      </c>
      <c r="AA146" s="71">
        <f t="shared" si="125"/>
        <v>24.33632358036364</v>
      </c>
      <c r="AB146" s="71">
        <v>0</v>
      </c>
      <c r="AC146" s="71">
        <f t="shared" si="103"/>
        <v>0.81731417066326528</v>
      </c>
      <c r="AD146" s="74">
        <f t="shared" si="114"/>
        <v>0.81731417066326528</v>
      </c>
      <c r="AE146" s="73">
        <f t="shared" si="123"/>
        <v>10.425000000000002</v>
      </c>
      <c r="AF146" s="71">
        <f t="shared" si="115"/>
        <v>15.931863563422159</v>
      </c>
      <c r="AG146" s="71">
        <f t="shared" si="104"/>
        <v>2.2336536341107878</v>
      </c>
      <c r="AH146" s="71">
        <f t="shared" si="105"/>
        <v>9.5454833148478588</v>
      </c>
      <c r="AI146" s="74">
        <f t="shared" si="116"/>
        <v>11.779136948958646</v>
      </c>
      <c r="AJ146" s="73">
        <f t="shared" si="117"/>
        <v>13.9</v>
      </c>
      <c r="AK146" s="71">
        <f t="shared" si="106"/>
        <v>18.396531434068347</v>
      </c>
      <c r="AL146" s="71">
        <f t="shared" si="107"/>
        <v>2.9782048454810504</v>
      </c>
      <c r="AM146" s="71">
        <f t="shared" si="118"/>
        <v>1.4388000000000003</v>
      </c>
      <c r="AN146" s="188">
        <f t="shared" si="108"/>
        <v>0.81954285714285724</v>
      </c>
      <c r="AO146" s="74">
        <f t="shared" si="119"/>
        <v>5.2365477026239082</v>
      </c>
      <c r="AP146" s="73">
        <f t="shared" si="109"/>
        <v>0.88838496811224499</v>
      </c>
      <c r="AQ146" s="206">
        <f t="shared" si="110"/>
        <v>0.81731417066326528</v>
      </c>
      <c r="AR146" s="206">
        <f t="shared" si="111"/>
        <v>0.88447929873185172</v>
      </c>
      <c r="AS146" s="71">
        <f t="shared" si="112"/>
        <v>0.19999999999999998</v>
      </c>
      <c r="AT146" s="74">
        <f t="shared" si="113"/>
        <v>3.96E-5</v>
      </c>
      <c r="AU146" s="73">
        <f t="shared" si="120"/>
        <v>20.623216859753182</v>
      </c>
      <c r="AV146" s="71">
        <f t="shared" si="121"/>
        <v>291.90000000000003</v>
      </c>
      <c r="AW146" s="74">
        <f t="shared" si="122"/>
        <v>93.401060866141023</v>
      </c>
    </row>
    <row r="147" spans="17:49" x14ac:dyDescent="0.25">
      <c r="Q147">
        <v>140</v>
      </c>
      <c r="R147" s="73">
        <f t="shared" si="96"/>
        <v>21</v>
      </c>
      <c r="S147" s="71">
        <f t="shared" si="97"/>
        <v>14</v>
      </c>
      <c r="T147" s="71">
        <f t="shared" si="98"/>
        <v>12</v>
      </c>
      <c r="U147" s="74">
        <f t="shared" si="99"/>
        <v>24.5</v>
      </c>
      <c r="V147" s="73">
        <f>IF(Variable_Management!$B$20=3,2,IF((S147*R147/T147)&lt;((T147*(1-(T147/R147)))/(2*Lm*Fsw)),1,2))</f>
        <v>2</v>
      </c>
      <c r="W147" s="71">
        <f t="shared" si="100"/>
        <v>0.4285714285714286</v>
      </c>
      <c r="X147" s="74">
        <f t="shared" si="101"/>
        <v>0.5714285714285714</v>
      </c>
      <c r="Y147" s="73">
        <f t="shared" si="102"/>
        <v>2.5714285714285716</v>
      </c>
      <c r="Z147" s="71">
        <f t="shared" si="124"/>
        <v>25.785714285714285</v>
      </c>
      <c r="AA147" s="71">
        <f t="shared" si="125"/>
        <v>24.511242734879097</v>
      </c>
      <c r="AB147" s="71">
        <v>0</v>
      </c>
      <c r="AC147" s="71">
        <f t="shared" si="103"/>
        <v>0.82910540816326539</v>
      </c>
      <c r="AD147" s="74">
        <f t="shared" si="114"/>
        <v>0.82910540816326539</v>
      </c>
      <c r="AE147" s="73">
        <f t="shared" si="123"/>
        <v>10.5</v>
      </c>
      <c r="AF147" s="71">
        <f t="shared" si="115"/>
        <v>16.046375030002835</v>
      </c>
      <c r="AG147" s="71">
        <f t="shared" si="104"/>
        <v>2.2658781341107872</v>
      </c>
      <c r="AH147" s="71">
        <f t="shared" si="105"/>
        <v>9.614155856681295</v>
      </c>
      <c r="AI147" s="74">
        <f t="shared" si="116"/>
        <v>11.880033990792082</v>
      </c>
      <c r="AJ147" s="73">
        <f t="shared" si="117"/>
        <v>14</v>
      </c>
      <c r="AK147" s="71">
        <f t="shared" si="106"/>
        <v>18.528757886179651</v>
      </c>
      <c r="AL147" s="71">
        <f t="shared" si="107"/>
        <v>3.0211708454810489</v>
      </c>
      <c r="AM147" s="71">
        <f t="shared" si="118"/>
        <v>1.4388000000000003</v>
      </c>
      <c r="AN147" s="188">
        <f t="shared" si="108"/>
        <v>0.82514285714285718</v>
      </c>
      <c r="AO147" s="74">
        <f t="shared" si="119"/>
        <v>5.2851137026239066</v>
      </c>
      <c r="AP147" s="73">
        <f t="shared" si="109"/>
        <v>0.90120153061224506</v>
      </c>
      <c r="AQ147" s="206">
        <f t="shared" si="110"/>
        <v>0.82910540816326539</v>
      </c>
      <c r="AR147" s="206">
        <f t="shared" si="111"/>
        <v>0.88447929873185172</v>
      </c>
      <c r="AS147" s="71">
        <f t="shared" si="112"/>
        <v>0.19999999999999998</v>
      </c>
      <c r="AT147" s="74">
        <f t="shared" si="113"/>
        <v>3.96E-5</v>
      </c>
      <c r="AU147" s="73">
        <f t="shared" si="120"/>
        <v>20.809078939086614</v>
      </c>
      <c r="AV147" s="71">
        <f t="shared" si="121"/>
        <v>294</v>
      </c>
      <c r="AW147" s="74">
        <f t="shared" si="122"/>
        <v>93.389936843875773</v>
      </c>
    </row>
    <row r="148" spans="17:49" x14ac:dyDescent="0.25">
      <c r="Q148">
        <v>141</v>
      </c>
      <c r="R148" s="73">
        <f t="shared" si="96"/>
        <v>21</v>
      </c>
      <c r="S148" s="71">
        <f t="shared" si="97"/>
        <v>14.100000000000001</v>
      </c>
      <c r="T148" s="71">
        <f t="shared" si="98"/>
        <v>12</v>
      </c>
      <c r="U148" s="74">
        <f t="shared" si="99"/>
        <v>24.675000000000001</v>
      </c>
      <c r="V148" s="73">
        <f>IF(Variable_Management!$B$20=3,2,IF((S148*R148/T148)&lt;((T148*(1-(T148/R148)))/(2*Lm*Fsw)),1,2))</f>
        <v>2</v>
      </c>
      <c r="W148" s="71">
        <f t="shared" si="100"/>
        <v>0.4285714285714286</v>
      </c>
      <c r="X148" s="74">
        <f t="shared" si="101"/>
        <v>0.5714285714285714</v>
      </c>
      <c r="Y148" s="73">
        <f t="shared" si="102"/>
        <v>2.5714285714285716</v>
      </c>
      <c r="Z148" s="71">
        <f t="shared" si="124"/>
        <v>25.960714285714285</v>
      </c>
      <c r="AA148" s="71">
        <f t="shared" si="125"/>
        <v>24.686163035355722</v>
      </c>
      <c r="AB148" s="71">
        <v>0</v>
      </c>
      <c r="AC148" s="71">
        <f t="shared" si="103"/>
        <v>0.84098117066326528</v>
      </c>
      <c r="AD148" s="74">
        <f t="shared" si="114"/>
        <v>0.84098117066326528</v>
      </c>
      <c r="AE148" s="73">
        <f t="shared" si="123"/>
        <v>10.575000000000001</v>
      </c>
      <c r="AF148" s="71">
        <f t="shared" si="115"/>
        <v>16.160887246791201</v>
      </c>
      <c r="AG148" s="71">
        <f t="shared" si="104"/>
        <v>2.2983336341107874</v>
      </c>
      <c r="AH148" s="71">
        <f t="shared" si="105"/>
        <v>9.6828283985147348</v>
      </c>
      <c r="AI148" s="74">
        <f t="shared" si="116"/>
        <v>11.981162032625523</v>
      </c>
      <c r="AJ148" s="73">
        <f t="shared" si="117"/>
        <v>14.1</v>
      </c>
      <c r="AK148" s="71">
        <f t="shared" si="106"/>
        <v>18.66098520455618</v>
      </c>
      <c r="AL148" s="71">
        <f t="shared" si="107"/>
        <v>3.0644448454810491</v>
      </c>
      <c r="AM148" s="71">
        <f t="shared" si="118"/>
        <v>1.4388000000000003</v>
      </c>
      <c r="AN148" s="188">
        <f t="shared" si="108"/>
        <v>0.83074285714285712</v>
      </c>
      <c r="AO148" s="74">
        <f t="shared" si="119"/>
        <v>5.3339877026239062</v>
      </c>
      <c r="AP148" s="73">
        <f t="shared" si="109"/>
        <v>0.91410996811224499</v>
      </c>
      <c r="AQ148" s="206">
        <f t="shared" si="110"/>
        <v>0.84098117066326528</v>
      </c>
      <c r="AR148" s="206">
        <f t="shared" si="111"/>
        <v>0.88447929873185172</v>
      </c>
      <c r="AS148" s="71">
        <f t="shared" si="112"/>
        <v>0.19999999999999998</v>
      </c>
      <c r="AT148" s="74">
        <f t="shared" si="113"/>
        <v>3.96E-5</v>
      </c>
      <c r="AU148" s="73">
        <f t="shared" si="120"/>
        <v>20.995740943420056</v>
      </c>
      <c r="AV148" s="71">
        <f t="shared" si="121"/>
        <v>296.10000000000002</v>
      </c>
      <c r="AW148" s="74">
        <f t="shared" si="122"/>
        <v>93.378737639000221</v>
      </c>
    </row>
    <row r="149" spans="17:49" x14ac:dyDescent="0.25">
      <c r="Q149">
        <v>142</v>
      </c>
      <c r="R149" s="73">
        <f t="shared" si="96"/>
        <v>21</v>
      </c>
      <c r="S149" s="71">
        <f t="shared" si="97"/>
        <v>14.200000000000001</v>
      </c>
      <c r="T149" s="71">
        <f t="shared" si="98"/>
        <v>12</v>
      </c>
      <c r="U149" s="74">
        <f t="shared" si="99"/>
        <v>24.850000000000005</v>
      </c>
      <c r="V149" s="73">
        <f>IF(Variable_Management!$B$20=3,2,IF((S149*R149/T149)&lt;((T149*(1-(T149/R149)))/(2*Lm*Fsw)),1,2))</f>
        <v>2</v>
      </c>
      <c r="W149" s="71">
        <f t="shared" si="100"/>
        <v>0.4285714285714286</v>
      </c>
      <c r="X149" s="74">
        <f t="shared" si="101"/>
        <v>0.5714285714285714</v>
      </c>
      <c r="Y149" s="73">
        <f t="shared" si="102"/>
        <v>2.5714285714285716</v>
      </c>
      <c r="Z149" s="71">
        <f t="shared" si="124"/>
        <v>26.13571428571429</v>
      </c>
      <c r="AA149" s="71">
        <f t="shared" si="125"/>
        <v>24.861084457604893</v>
      </c>
      <c r="AB149" s="71">
        <v>0</v>
      </c>
      <c r="AC149" s="71">
        <f t="shared" si="103"/>
        <v>0.85294145816326561</v>
      </c>
      <c r="AD149" s="74">
        <f t="shared" si="114"/>
        <v>0.85294145816326561</v>
      </c>
      <c r="AE149" s="73">
        <f t="shared" si="123"/>
        <v>10.650000000000002</v>
      </c>
      <c r="AF149" s="71">
        <f t="shared" si="115"/>
        <v>16.275400197952081</v>
      </c>
      <c r="AG149" s="71">
        <f t="shared" si="104"/>
        <v>2.3310201341107883</v>
      </c>
      <c r="AH149" s="71">
        <f t="shared" si="105"/>
        <v>9.7515009403481727</v>
      </c>
      <c r="AI149" s="74">
        <f t="shared" si="116"/>
        <v>12.082521074458962</v>
      </c>
      <c r="AJ149" s="73">
        <f t="shared" si="117"/>
        <v>14.200000000000003</v>
      </c>
      <c r="AK149" s="71">
        <f t="shared" si="106"/>
        <v>18.793213370913044</v>
      </c>
      <c r="AL149" s="71">
        <f t="shared" si="107"/>
        <v>3.1080268454810502</v>
      </c>
      <c r="AM149" s="71">
        <f t="shared" si="118"/>
        <v>1.4388000000000003</v>
      </c>
      <c r="AN149" s="188">
        <f t="shared" si="108"/>
        <v>0.83634285714285728</v>
      </c>
      <c r="AO149" s="74">
        <f t="shared" si="119"/>
        <v>5.383169702623908</v>
      </c>
      <c r="AP149" s="73">
        <f t="shared" si="109"/>
        <v>0.92711028061224532</v>
      </c>
      <c r="AQ149" s="206">
        <f t="shared" si="110"/>
        <v>0.85294145816326561</v>
      </c>
      <c r="AR149" s="206">
        <f t="shared" si="111"/>
        <v>0.88447929873185172</v>
      </c>
      <c r="AS149" s="71">
        <f t="shared" si="112"/>
        <v>0.19999999999999998</v>
      </c>
      <c r="AT149" s="74">
        <f t="shared" si="113"/>
        <v>3.96E-5</v>
      </c>
      <c r="AU149" s="73">
        <f t="shared" si="120"/>
        <v>21.183202872753498</v>
      </c>
      <c r="AV149" s="71">
        <f t="shared" si="121"/>
        <v>298.20000000000005</v>
      </c>
      <c r="AW149" s="74">
        <f t="shared" si="122"/>
        <v>93.36746495049924</v>
      </c>
    </row>
    <row r="150" spans="17:49" x14ac:dyDescent="0.25">
      <c r="Q150">
        <v>143</v>
      </c>
      <c r="R150" s="73">
        <f t="shared" si="96"/>
        <v>21</v>
      </c>
      <c r="S150" s="71">
        <f t="shared" si="97"/>
        <v>14.3</v>
      </c>
      <c r="T150" s="71">
        <f t="shared" si="98"/>
        <v>12</v>
      </c>
      <c r="U150" s="74">
        <f t="shared" si="99"/>
        <v>25.025000000000002</v>
      </c>
      <c r="V150" s="73">
        <f>IF(Variable_Management!$B$20=3,2,IF((S150*R150/T150)&lt;((T150*(1-(T150/R150)))/(2*Lm*Fsw)),1,2))</f>
        <v>2</v>
      </c>
      <c r="W150" s="71">
        <f t="shared" si="100"/>
        <v>0.4285714285714286</v>
      </c>
      <c r="X150" s="74">
        <f t="shared" si="101"/>
        <v>0.5714285714285714</v>
      </c>
      <c r="Y150" s="73">
        <f t="shared" si="102"/>
        <v>2.5714285714285716</v>
      </c>
      <c r="Z150" s="71">
        <f t="shared" si="124"/>
        <v>26.310714285714287</v>
      </c>
      <c r="AA150" s="71">
        <f t="shared" si="125"/>
        <v>25.036006978113811</v>
      </c>
      <c r="AB150" s="71">
        <v>0</v>
      </c>
      <c r="AC150" s="71">
        <f t="shared" si="103"/>
        <v>0.86498627066326539</v>
      </c>
      <c r="AD150" s="74">
        <f t="shared" si="114"/>
        <v>0.86498627066326539</v>
      </c>
      <c r="AE150" s="73">
        <f t="shared" si="123"/>
        <v>10.725000000000001</v>
      </c>
      <c r="AF150" s="71">
        <f t="shared" si="115"/>
        <v>16.389913868092734</v>
      </c>
      <c r="AG150" s="71">
        <f t="shared" si="104"/>
        <v>2.3639376341107869</v>
      </c>
      <c r="AH150" s="71">
        <f t="shared" si="105"/>
        <v>9.8201734821816107</v>
      </c>
      <c r="AI150" s="74">
        <f t="shared" si="116"/>
        <v>12.184111116292398</v>
      </c>
      <c r="AJ150" s="73">
        <f t="shared" si="117"/>
        <v>14.3</v>
      </c>
      <c r="AK150" s="71">
        <f t="shared" si="106"/>
        <v>18.92544236747624</v>
      </c>
      <c r="AL150" s="71">
        <f t="shared" si="107"/>
        <v>3.1519168454810491</v>
      </c>
      <c r="AM150" s="71">
        <f t="shared" si="118"/>
        <v>1.4388000000000003</v>
      </c>
      <c r="AN150" s="188">
        <f t="shared" si="108"/>
        <v>0.84194285714285722</v>
      </c>
      <c r="AO150" s="74">
        <f t="shared" si="119"/>
        <v>5.4326597026239067</v>
      </c>
      <c r="AP150" s="73">
        <f t="shared" si="109"/>
        <v>0.94020246811224506</v>
      </c>
      <c r="AQ150" s="206">
        <f t="shared" si="110"/>
        <v>0.86498627066326539</v>
      </c>
      <c r="AR150" s="206">
        <f t="shared" si="111"/>
        <v>0.88447929873185172</v>
      </c>
      <c r="AS150" s="71">
        <f t="shared" si="112"/>
        <v>0.19999999999999998</v>
      </c>
      <c r="AT150" s="74">
        <f t="shared" si="113"/>
        <v>3.96E-5</v>
      </c>
      <c r="AU150" s="73">
        <f t="shared" si="120"/>
        <v>21.371464727086931</v>
      </c>
      <c r="AV150" s="71">
        <f t="shared" si="121"/>
        <v>300.3</v>
      </c>
      <c r="AW150" s="74">
        <f t="shared" si="122"/>
        <v>93.356120430135476</v>
      </c>
    </row>
    <row r="151" spans="17:49" x14ac:dyDescent="0.25">
      <c r="Q151">
        <v>144</v>
      </c>
      <c r="R151" s="73">
        <f t="shared" si="96"/>
        <v>21</v>
      </c>
      <c r="S151" s="71">
        <f t="shared" si="97"/>
        <v>14.4</v>
      </c>
      <c r="T151" s="71">
        <f t="shared" si="98"/>
        <v>12</v>
      </c>
      <c r="U151" s="74">
        <f t="shared" si="99"/>
        <v>25.200000000000003</v>
      </c>
      <c r="V151" s="73">
        <f>IF(Variable_Management!$B$20=3,2,IF((S151*R151/T151)&lt;((T151*(1-(T151/R151)))/(2*Lm*Fsw)),1,2))</f>
        <v>2</v>
      </c>
      <c r="W151" s="71">
        <f t="shared" si="100"/>
        <v>0.4285714285714286</v>
      </c>
      <c r="X151" s="74">
        <f t="shared" si="101"/>
        <v>0.5714285714285714</v>
      </c>
      <c r="Y151" s="73">
        <f t="shared" si="102"/>
        <v>2.5714285714285716</v>
      </c>
      <c r="Z151" s="71">
        <f t="shared" si="124"/>
        <v>26.485714285714288</v>
      </c>
      <c r="AA151" s="71">
        <f t="shared" si="125"/>
        <v>25.210930574022122</v>
      </c>
      <c r="AB151" s="71">
        <v>0</v>
      </c>
      <c r="AC151" s="71">
        <f t="shared" si="103"/>
        <v>0.87711560816326539</v>
      </c>
      <c r="AD151" s="74">
        <f t="shared" si="114"/>
        <v>0.87711560816326539</v>
      </c>
      <c r="AE151" s="73">
        <f t="shared" si="123"/>
        <v>10.800000000000002</v>
      </c>
      <c r="AF151" s="71">
        <f t="shared" si="115"/>
        <v>16.504428242247553</v>
      </c>
      <c r="AG151" s="71">
        <f t="shared" si="104"/>
        <v>2.3970861341107881</v>
      </c>
      <c r="AH151" s="71">
        <f t="shared" si="105"/>
        <v>9.8888460240150486</v>
      </c>
      <c r="AI151" s="74">
        <f t="shared" si="116"/>
        <v>12.285932158125837</v>
      </c>
      <c r="AJ151" s="73">
        <f t="shared" si="117"/>
        <v>14.4</v>
      </c>
      <c r="AK151" s="71">
        <f t="shared" si="106"/>
        <v>19.057672176964971</v>
      </c>
      <c r="AL151" s="71">
        <f t="shared" si="107"/>
        <v>3.1961148454810502</v>
      </c>
      <c r="AM151" s="71">
        <f t="shared" si="118"/>
        <v>1.4388000000000003</v>
      </c>
      <c r="AN151" s="188">
        <f t="shared" si="108"/>
        <v>0.84754285714285726</v>
      </c>
      <c r="AO151" s="74">
        <f t="shared" si="119"/>
        <v>5.4824577026239076</v>
      </c>
      <c r="AP151" s="73">
        <f t="shared" si="109"/>
        <v>0.95338653061224499</v>
      </c>
      <c r="AQ151" s="206">
        <f t="shared" si="110"/>
        <v>0.87711560816326539</v>
      </c>
      <c r="AR151" s="206">
        <f t="shared" si="111"/>
        <v>0.88447929873185172</v>
      </c>
      <c r="AS151" s="71">
        <f t="shared" si="112"/>
        <v>0.19999999999999998</v>
      </c>
      <c r="AT151" s="74">
        <f t="shared" si="113"/>
        <v>3.96E-5</v>
      </c>
      <c r="AU151" s="73">
        <f t="shared" si="120"/>
        <v>21.56052650642037</v>
      </c>
      <c r="AV151" s="71">
        <f t="shared" si="121"/>
        <v>302.40000000000003</v>
      </c>
      <c r="AW151" s="74">
        <f t="shared" si="122"/>
        <v>93.344705684075663</v>
      </c>
    </row>
    <row r="152" spans="17:49" x14ac:dyDescent="0.25">
      <c r="Q152">
        <v>145</v>
      </c>
      <c r="R152" s="73">
        <f t="shared" si="96"/>
        <v>21</v>
      </c>
      <c r="S152" s="71">
        <f t="shared" si="97"/>
        <v>14.5</v>
      </c>
      <c r="T152" s="71">
        <f t="shared" si="98"/>
        <v>12</v>
      </c>
      <c r="U152" s="74">
        <f t="shared" si="99"/>
        <v>25.375</v>
      </c>
      <c r="V152" s="73">
        <f>IF(Variable_Management!$B$20=3,2,IF((S152*R152/T152)&lt;((T152*(1-(T152/R152)))/(2*Lm*Fsw)),1,2))</f>
        <v>2</v>
      </c>
      <c r="W152" s="71">
        <f t="shared" si="100"/>
        <v>0.4285714285714286</v>
      </c>
      <c r="X152" s="74">
        <f t="shared" si="101"/>
        <v>0.5714285714285714</v>
      </c>
      <c r="Y152" s="73">
        <f t="shared" si="102"/>
        <v>2.5714285714285716</v>
      </c>
      <c r="Z152" s="71">
        <f t="shared" si="124"/>
        <v>26.660714285714285</v>
      </c>
      <c r="AA152" s="71">
        <f t="shared" si="125"/>
        <v>25.385855223099405</v>
      </c>
      <c r="AB152" s="71">
        <v>0</v>
      </c>
      <c r="AC152" s="71">
        <f t="shared" si="103"/>
        <v>0.8893294706632654</v>
      </c>
      <c r="AD152" s="74">
        <f t="shared" si="114"/>
        <v>0.8893294706632654</v>
      </c>
      <c r="AE152" s="73">
        <f t="shared" si="123"/>
        <v>10.875</v>
      </c>
      <c r="AF152" s="71">
        <f t="shared" si="115"/>
        <v>16.618943305863297</v>
      </c>
      <c r="AG152" s="71">
        <f t="shared" si="104"/>
        <v>2.4304656341107869</v>
      </c>
      <c r="AH152" s="71">
        <f t="shared" si="105"/>
        <v>9.9575185658484848</v>
      </c>
      <c r="AI152" s="74">
        <f t="shared" si="116"/>
        <v>12.387984199959272</v>
      </c>
      <c r="AJ152" s="73">
        <f t="shared" si="117"/>
        <v>14.5</v>
      </c>
      <c r="AK152" s="71">
        <f t="shared" si="106"/>
        <v>19.189902782574606</v>
      </c>
      <c r="AL152" s="71">
        <f t="shared" si="107"/>
        <v>3.240620845481049</v>
      </c>
      <c r="AM152" s="71">
        <f t="shared" si="118"/>
        <v>1.4388000000000003</v>
      </c>
      <c r="AN152" s="188">
        <f t="shared" si="108"/>
        <v>0.85314285714285709</v>
      </c>
      <c r="AO152" s="74">
        <f t="shared" si="119"/>
        <v>5.5325637026239063</v>
      </c>
      <c r="AP152" s="73">
        <f t="shared" si="109"/>
        <v>0.9666624681122451</v>
      </c>
      <c r="AQ152" s="206">
        <f t="shared" si="110"/>
        <v>0.8893294706632654</v>
      </c>
      <c r="AR152" s="206">
        <f t="shared" si="111"/>
        <v>0.88447929873185172</v>
      </c>
      <c r="AS152" s="71">
        <f t="shared" si="112"/>
        <v>0.19999999999999998</v>
      </c>
      <c r="AT152" s="74">
        <f t="shared" si="113"/>
        <v>3.96E-5</v>
      </c>
      <c r="AU152" s="73">
        <f t="shared" si="120"/>
        <v>21.750388210753808</v>
      </c>
      <c r="AV152" s="71">
        <f t="shared" si="121"/>
        <v>304.5</v>
      </c>
      <c r="AW152" s="74">
        <f t="shared" si="122"/>
        <v>93.33322227445035</v>
      </c>
    </row>
    <row r="153" spans="17:49" x14ac:dyDescent="0.25">
      <c r="Q153">
        <v>146</v>
      </c>
      <c r="R153" s="73">
        <f t="shared" si="96"/>
        <v>21</v>
      </c>
      <c r="S153" s="71">
        <f t="shared" si="97"/>
        <v>14.600000000000001</v>
      </c>
      <c r="T153" s="71">
        <f t="shared" si="98"/>
        <v>12</v>
      </c>
      <c r="U153" s="74">
        <f t="shared" si="99"/>
        <v>25.55</v>
      </c>
      <c r="V153" s="73">
        <f>IF(Variable_Management!$B$20=3,2,IF((S153*R153/T153)&lt;((T153*(1-(T153/R153)))/(2*Lm*Fsw)),1,2))</f>
        <v>2</v>
      </c>
      <c r="W153" s="71">
        <f t="shared" si="100"/>
        <v>0.4285714285714286</v>
      </c>
      <c r="X153" s="74">
        <f t="shared" si="101"/>
        <v>0.5714285714285714</v>
      </c>
      <c r="Y153" s="73">
        <f t="shared" si="102"/>
        <v>2.5714285714285716</v>
      </c>
      <c r="Z153" s="71">
        <f t="shared" si="124"/>
        <v>26.835714285714285</v>
      </c>
      <c r="AA153" s="71">
        <f t="shared" si="125"/>
        <v>25.560780903723643</v>
      </c>
      <c r="AB153" s="71">
        <v>0</v>
      </c>
      <c r="AC153" s="71">
        <f t="shared" si="103"/>
        <v>0.90162785816326529</v>
      </c>
      <c r="AD153" s="74">
        <f t="shared" si="114"/>
        <v>0.90162785816326529</v>
      </c>
      <c r="AE153" s="73">
        <f t="shared" si="123"/>
        <v>10.950000000000001</v>
      </c>
      <c r="AF153" s="71">
        <f t="shared" si="115"/>
        <v>16.73345904478505</v>
      </c>
      <c r="AG153" s="71">
        <f t="shared" si="104"/>
        <v>2.4640761341107877</v>
      </c>
      <c r="AH153" s="71">
        <f t="shared" si="105"/>
        <v>10.026191107681925</v>
      </c>
      <c r="AI153" s="74">
        <f t="shared" si="116"/>
        <v>12.490267241792711</v>
      </c>
      <c r="AJ153" s="73">
        <f t="shared" si="117"/>
        <v>14.6</v>
      </c>
      <c r="AK153" s="71">
        <f t="shared" si="106"/>
        <v>19.322134167960453</v>
      </c>
      <c r="AL153" s="71">
        <f t="shared" si="107"/>
        <v>3.28543484548105</v>
      </c>
      <c r="AM153" s="71">
        <f t="shared" si="118"/>
        <v>1.4388000000000003</v>
      </c>
      <c r="AN153" s="188">
        <f t="shared" si="108"/>
        <v>0.85874285714285714</v>
      </c>
      <c r="AO153" s="74">
        <f t="shared" si="119"/>
        <v>5.582977702623908</v>
      </c>
      <c r="AP153" s="73">
        <f t="shared" si="109"/>
        <v>0.98003028061224495</v>
      </c>
      <c r="AQ153" s="206">
        <f t="shared" si="110"/>
        <v>0.90162785816326529</v>
      </c>
      <c r="AR153" s="206">
        <f t="shared" si="111"/>
        <v>0.88447929873185172</v>
      </c>
      <c r="AS153" s="71">
        <f t="shared" si="112"/>
        <v>0.19999999999999998</v>
      </c>
      <c r="AT153" s="74">
        <f t="shared" si="113"/>
        <v>3.96E-5</v>
      </c>
      <c r="AU153" s="73">
        <f t="shared" si="120"/>
        <v>21.941049840087246</v>
      </c>
      <c r="AV153" s="71">
        <f t="shared" si="121"/>
        <v>306.60000000000002</v>
      </c>
      <c r="AW153" s="74">
        <f t="shared" si="122"/>
        <v>93.321671720849878</v>
      </c>
    </row>
    <row r="154" spans="17:49" x14ac:dyDescent="0.25">
      <c r="Q154">
        <v>147</v>
      </c>
      <c r="R154" s="73">
        <f t="shared" si="96"/>
        <v>21</v>
      </c>
      <c r="S154" s="71">
        <f t="shared" si="97"/>
        <v>14.700000000000001</v>
      </c>
      <c r="T154" s="71">
        <f t="shared" si="98"/>
        <v>12</v>
      </c>
      <c r="U154" s="74">
        <f t="shared" si="99"/>
        <v>25.725000000000005</v>
      </c>
      <c r="V154" s="73">
        <f>IF(Variable_Management!$B$20=3,2,IF((S154*R154/T154)&lt;((T154*(1-(T154/R154)))/(2*Lm*Fsw)),1,2))</f>
        <v>2</v>
      </c>
      <c r="W154" s="71">
        <f t="shared" si="100"/>
        <v>0.4285714285714286</v>
      </c>
      <c r="X154" s="74">
        <f t="shared" si="101"/>
        <v>0.5714285714285714</v>
      </c>
      <c r="Y154" s="73">
        <f t="shared" si="102"/>
        <v>2.5714285714285716</v>
      </c>
      <c r="Z154" s="71">
        <f t="shared" si="124"/>
        <v>27.01071428571429</v>
      </c>
      <c r="AA154" s="71">
        <f t="shared" si="125"/>
        <v>25.73570759486056</v>
      </c>
      <c r="AB154" s="71">
        <v>0</v>
      </c>
      <c r="AC154" s="71">
        <f t="shared" si="103"/>
        <v>0.91401077066326575</v>
      </c>
      <c r="AD154" s="74">
        <f t="shared" si="114"/>
        <v>0.91401077066326575</v>
      </c>
      <c r="AE154" s="73">
        <f t="shared" si="123"/>
        <v>11.025000000000002</v>
      </c>
      <c r="AF154" s="71">
        <f t="shared" si="115"/>
        <v>16.847975445242628</v>
      </c>
      <c r="AG154" s="71">
        <f t="shared" si="104"/>
        <v>2.4979176341107872</v>
      </c>
      <c r="AH154" s="71">
        <f t="shared" si="105"/>
        <v>10.094863649515363</v>
      </c>
      <c r="AI154" s="74">
        <f t="shared" si="116"/>
        <v>12.592781283626149</v>
      </c>
      <c r="AJ154" s="73">
        <f t="shared" si="117"/>
        <v>14.700000000000003</v>
      </c>
      <c r="AK154" s="71">
        <f t="shared" si="106"/>
        <v>19.454366317222075</v>
      </c>
      <c r="AL154" s="71">
        <f t="shared" si="107"/>
        <v>3.3305568454810501</v>
      </c>
      <c r="AM154" s="71">
        <f t="shared" si="118"/>
        <v>1.4388000000000003</v>
      </c>
      <c r="AN154" s="188">
        <f t="shared" si="108"/>
        <v>0.8643428571428573</v>
      </c>
      <c r="AO154" s="74">
        <f t="shared" si="119"/>
        <v>5.6336997026239075</v>
      </c>
      <c r="AP154" s="73">
        <f t="shared" si="109"/>
        <v>0.99348996811224544</v>
      </c>
      <c r="AQ154" s="206">
        <f t="shared" si="110"/>
        <v>0.91401077066326575</v>
      </c>
      <c r="AR154" s="206">
        <f t="shared" si="111"/>
        <v>0.88447929873185172</v>
      </c>
      <c r="AS154" s="71">
        <f t="shared" si="112"/>
        <v>0.19999999999999998</v>
      </c>
      <c r="AT154" s="74">
        <f t="shared" si="113"/>
        <v>3.96E-5</v>
      </c>
      <c r="AU154" s="73">
        <f t="shared" si="120"/>
        <v>22.132511394420682</v>
      </c>
      <c r="AV154" s="71">
        <f t="shared" si="121"/>
        <v>308.70000000000005</v>
      </c>
      <c r="AW154" s="74">
        <f t="shared" si="122"/>
        <v>93.310055501759877</v>
      </c>
    </row>
    <row r="155" spans="17:49" x14ac:dyDescent="0.25">
      <c r="Q155">
        <v>148</v>
      </c>
      <c r="R155" s="73">
        <f t="shared" si="96"/>
        <v>21</v>
      </c>
      <c r="S155" s="71">
        <f t="shared" si="97"/>
        <v>14.8</v>
      </c>
      <c r="T155" s="71">
        <f t="shared" si="98"/>
        <v>12</v>
      </c>
      <c r="U155" s="74">
        <f t="shared" si="99"/>
        <v>25.900000000000002</v>
      </c>
      <c r="V155" s="73">
        <f>IF(Variable_Management!$B$20=3,2,IF((S155*R155/T155)&lt;((T155*(1-(T155/R155)))/(2*Lm*Fsw)),1,2))</f>
        <v>2</v>
      </c>
      <c r="W155" s="71">
        <f t="shared" si="100"/>
        <v>0.4285714285714286</v>
      </c>
      <c r="X155" s="74">
        <f t="shared" si="101"/>
        <v>0.5714285714285714</v>
      </c>
      <c r="Y155" s="73">
        <f t="shared" si="102"/>
        <v>2.5714285714285716</v>
      </c>
      <c r="Z155" s="71">
        <f t="shared" si="124"/>
        <v>27.185714285714287</v>
      </c>
      <c r="AA155" s="71">
        <f t="shared" si="125"/>
        <v>25.910635276043759</v>
      </c>
      <c r="AB155" s="71">
        <v>0</v>
      </c>
      <c r="AC155" s="71">
        <f t="shared" si="103"/>
        <v>0.92647820816326532</v>
      </c>
      <c r="AD155" s="74">
        <f t="shared" si="114"/>
        <v>0.92647820816326532</v>
      </c>
      <c r="AE155" s="73">
        <f t="shared" si="123"/>
        <v>11.100000000000001</v>
      </c>
      <c r="AF155" s="71">
        <f t="shared" si="115"/>
        <v>16.962492493837647</v>
      </c>
      <c r="AG155" s="71">
        <f t="shared" si="104"/>
        <v>2.5319901341107873</v>
      </c>
      <c r="AH155" s="71">
        <f t="shared" si="105"/>
        <v>10.1635361913488</v>
      </c>
      <c r="AI155" s="74">
        <f t="shared" si="116"/>
        <v>12.695526325459587</v>
      </c>
      <c r="AJ155" s="73">
        <f t="shared" si="117"/>
        <v>14.8</v>
      </c>
      <c r="AK155" s="71">
        <f t="shared" si="106"/>
        <v>19.586599214888345</v>
      </c>
      <c r="AL155" s="71">
        <f t="shared" si="107"/>
        <v>3.3759868454810498</v>
      </c>
      <c r="AM155" s="71">
        <f t="shared" si="118"/>
        <v>1.4388000000000003</v>
      </c>
      <c r="AN155" s="188">
        <f t="shared" si="108"/>
        <v>0.86994285714285724</v>
      </c>
      <c r="AO155" s="74">
        <f t="shared" si="119"/>
        <v>5.6847297026239074</v>
      </c>
      <c r="AP155" s="73">
        <f t="shared" si="109"/>
        <v>1.0070415306122449</v>
      </c>
      <c r="AQ155" s="206">
        <f t="shared" si="110"/>
        <v>0.92647820816326532</v>
      </c>
      <c r="AR155" s="206">
        <f t="shared" si="111"/>
        <v>0.88447929873185172</v>
      </c>
      <c r="AS155" s="71">
        <f t="shared" si="112"/>
        <v>0.19999999999999998</v>
      </c>
      <c r="AT155" s="74">
        <f t="shared" si="113"/>
        <v>3.96E-5</v>
      </c>
      <c r="AU155" s="73">
        <f t="shared" si="120"/>
        <v>22.324772873754117</v>
      </c>
      <c r="AV155" s="71">
        <f t="shared" si="121"/>
        <v>310.8</v>
      </c>
      <c r="AW155" s="74">
        <f t="shared" si="122"/>
        <v>93.29837505593899</v>
      </c>
    </row>
    <row r="156" spans="17:49" x14ac:dyDescent="0.25">
      <c r="Q156">
        <v>149</v>
      </c>
      <c r="R156" s="73">
        <f t="shared" si="96"/>
        <v>21</v>
      </c>
      <c r="S156" s="71">
        <f t="shared" si="97"/>
        <v>14.9</v>
      </c>
      <c r="T156" s="71">
        <f t="shared" si="98"/>
        <v>12</v>
      </c>
      <c r="U156" s="74">
        <f t="shared" si="99"/>
        <v>26.075000000000003</v>
      </c>
      <c r="V156" s="73">
        <f>IF(Variable_Management!$B$20=3,2,IF((S156*R156/T156)&lt;((T156*(1-(T156/R156)))/(2*Lm*Fsw)),1,2))</f>
        <v>2</v>
      </c>
      <c r="W156" s="71">
        <f t="shared" si="100"/>
        <v>0.4285714285714286</v>
      </c>
      <c r="X156" s="74">
        <f t="shared" si="101"/>
        <v>0.5714285714285714</v>
      </c>
      <c r="Y156" s="73">
        <f t="shared" si="102"/>
        <v>2.5714285714285716</v>
      </c>
      <c r="Z156" s="71">
        <f t="shared" si="124"/>
        <v>27.360714285714288</v>
      </c>
      <c r="AA156" s="71">
        <f t="shared" si="125"/>
        <v>26.085563927355746</v>
      </c>
      <c r="AB156" s="71">
        <v>0</v>
      </c>
      <c r="AC156" s="71">
        <f t="shared" si="103"/>
        <v>0.93903017066326533</v>
      </c>
      <c r="AD156" s="74">
        <f t="shared" si="114"/>
        <v>0.93903017066326533</v>
      </c>
      <c r="AE156" s="73">
        <f t="shared" si="123"/>
        <v>11.175000000000002</v>
      </c>
      <c r="AF156" s="71">
        <f t="shared" si="115"/>
        <v>17.077010177531037</v>
      </c>
      <c r="AG156" s="71">
        <f t="shared" si="104"/>
        <v>2.5662936341107883</v>
      </c>
      <c r="AH156" s="71">
        <f t="shared" si="105"/>
        <v>10.232208733182237</v>
      </c>
      <c r="AI156" s="74">
        <f t="shared" si="116"/>
        <v>12.798502367293025</v>
      </c>
      <c r="AJ156" s="73">
        <f t="shared" si="117"/>
        <v>14.9</v>
      </c>
      <c r="AK156" s="71">
        <f t="shared" si="106"/>
        <v>19.718832845903044</v>
      </c>
      <c r="AL156" s="71">
        <f t="shared" si="107"/>
        <v>3.4217248454810503</v>
      </c>
      <c r="AM156" s="71">
        <f t="shared" si="118"/>
        <v>1.4388000000000003</v>
      </c>
      <c r="AN156" s="188">
        <f t="shared" si="108"/>
        <v>0.87554285714285718</v>
      </c>
      <c r="AO156" s="74">
        <f t="shared" si="119"/>
        <v>5.7360677026239077</v>
      </c>
      <c r="AP156" s="73">
        <f t="shared" si="109"/>
        <v>1.020684968112245</v>
      </c>
      <c r="AQ156" s="206">
        <f t="shared" si="110"/>
        <v>0.93903017066326533</v>
      </c>
      <c r="AR156" s="206">
        <f t="shared" si="111"/>
        <v>0.88447929873185172</v>
      </c>
      <c r="AS156" s="71">
        <f t="shared" si="112"/>
        <v>0.19999999999999998</v>
      </c>
      <c r="AT156" s="74">
        <f t="shared" si="113"/>
        <v>3.96E-5</v>
      </c>
      <c r="AU156" s="73">
        <f t="shared" si="120"/>
        <v>22.517834278087559</v>
      </c>
      <c r="AV156" s="71">
        <f t="shared" si="121"/>
        <v>312.90000000000003</v>
      </c>
      <c r="AW156" s="74">
        <f t="shared" si="122"/>
        <v>93.286631783741555</v>
      </c>
    </row>
    <row r="157" spans="17:49" ht="15.75" thickBot="1" x14ac:dyDescent="0.3">
      <c r="Q157">
        <v>150</v>
      </c>
      <c r="R157" s="75">
        <f t="shared" si="96"/>
        <v>21</v>
      </c>
      <c r="S157" s="76">
        <f t="shared" si="97"/>
        <v>15</v>
      </c>
      <c r="T157" s="76">
        <f t="shared" si="98"/>
        <v>12</v>
      </c>
      <c r="U157" s="77">
        <f t="shared" si="99"/>
        <v>26.25</v>
      </c>
      <c r="V157" s="73">
        <f>IF(Variable_Management!$B$20=3,2,IF((S157*R157/T157)&lt;((T157*(1-(T157/R157)))/(2*Lm*Fsw)),1,2))</f>
        <v>2</v>
      </c>
      <c r="W157" s="76">
        <f t="shared" si="100"/>
        <v>0.4285714285714286</v>
      </c>
      <c r="X157" s="74">
        <f t="shared" si="101"/>
        <v>0.5714285714285714</v>
      </c>
      <c r="Y157" s="75">
        <f t="shared" si="102"/>
        <v>2.5714285714285716</v>
      </c>
      <c r="Z157" s="76">
        <f t="shared" si="124"/>
        <v>27.535714285714285</v>
      </c>
      <c r="AA157" s="76">
        <f t="shared" si="125"/>
        <v>26.260493529409597</v>
      </c>
      <c r="AB157" s="76">
        <v>0</v>
      </c>
      <c r="AC157" s="76">
        <f t="shared" si="103"/>
        <v>0.95166665816326546</v>
      </c>
      <c r="AD157" s="77">
        <f t="shared" si="114"/>
        <v>0.95166665816326546</v>
      </c>
      <c r="AE157" s="75">
        <f t="shared" si="123"/>
        <v>11.25</v>
      </c>
      <c r="AF157" s="71">
        <f t="shared" si="115"/>
        <v>17.191528483631075</v>
      </c>
      <c r="AG157" s="76">
        <f t="shared" si="104"/>
        <v>2.6008281341107877</v>
      </c>
      <c r="AH157" s="76">
        <f t="shared" si="105"/>
        <v>10.300881275015675</v>
      </c>
      <c r="AI157" s="77">
        <f t="shared" si="116"/>
        <v>12.901709409126463</v>
      </c>
      <c r="AJ157" s="75">
        <f>X157*U157</f>
        <v>15</v>
      </c>
      <c r="AK157" s="76">
        <f t="shared" si="106"/>
        <v>19.851067195611037</v>
      </c>
      <c r="AL157" s="71">
        <f t="shared" si="107"/>
        <v>3.467770845481049</v>
      </c>
      <c r="AM157" s="71">
        <f t="shared" si="118"/>
        <v>1.4388000000000003</v>
      </c>
      <c r="AN157" s="188">
        <f t="shared" si="108"/>
        <v>0.88114285714285712</v>
      </c>
      <c r="AO157" s="74">
        <f t="shared" si="119"/>
        <v>5.7877137026239058</v>
      </c>
      <c r="AP157" s="73">
        <f t="shared" si="109"/>
        <v>1.0344202806122451</v>
      </c>
      <c r="AQ157" s="206">
        <f t="shared" si="110"/>
        <v>0.95166665816326546</v>
      </c>
      <c r="AR157" s="206">
        <f t="shared" si="111"/>
        <v>0.88447929873185172</v>
      </c>
      <c r="AS157" s="71">
        <f t="shared" si="112"/>
        <v>0.19999999999999998</v>
      </c>
      <c r="AT157" s="77">
        <f t="shared" si="113"/>
        <v>3.96E-5</v>
      </c>
      <c r="AU157" s="73">
        <f t="shared" si="120"/>
        <v>22.711695607420996</v>
      </c>
      <c r="AV157" s="76">
        <f t="shared" si="121"/>
        <v>315</v>
      </c>
      <c r="AW157" s="77">
        <f>(AV157/(AV157+AU157))*100</f>
        <v>93.274827048387849</v>
      </c>
    </row>
  </sheetData>
  <mergeCells count="7">
    <mergeCell ref="AP5:AT5"/>
    <mergeCell ref="A1:M1"/>
    <mergeCell ref="R5:U5"/>
    <mergeCell ref="V5:X5"/>
    <mergeCell ref="Y5:AD5"/>
    <mergeCell ref="AE5:AI5"/>
    <mergeCell ref="AJ5:AO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zoomScale="85" zoomScaleNormal="85" workbookViewId="0">
      <selection activeCell="M37" sqref="M37"/>
    </sheetView>
  </sheetViews>
  <sheetFormatPr defaultRowHeight="15" x14ac:dyDescent="0.25"/>
  <cols>
    <col min="1" max="1" width="18.7109375" customWidth="1"/>
    <col min="2" max="2" width="25" customWidth="1"/>
    <col min="8" max="9" width="8.85546875"/>
    <col min="10" max="10" width="12.7109375" bestFit="1" customWidth="1"/>
    <col min="14" max="14" width="17.85546875" customWidth="1"/>
    <col min="15" max="15" width="16.5703125" style="34" bestFit="1" customWidth="1"/>
    <col min="16" max="16" width="16.5703125" customWidth="1"/>
    <col min="29" max="29" width="8.85546875"/>
    <col min="32" max="37" width="8.7109375"/>
    <col min="38" max="38" width="11.42578125" bestFit="1" customWidth="1"/>
    <col min="39" max="40" width="8.7109375"/>
    <col min="41" max="41" width="13.140625" bestFit="1" customWidth="1"/>
    <col min="42" max="44" width="8.7109375"/>
    <col min="46" max="46" width="10.140625" customWidth="1"/>
    <col min="47" max="47" width="12" bestFit="1" customWidth="1"/>
    <col min="55" max="55" width="8.85546875"/>
    <col min="58" max="58" width="8.85546875"/>
  </cols>
  <sheetData>
    <row r="1" spans="1:65" ht="27.75" x14ac:dyDescent="0.4">
      <c r="A1" s="213" t="s">
        <v>15</v>
      </c>
      <c r="B1" s="213"/>
      <c r="C1" s="213"/>
      <c r="D1" s="213"/>
      <c r="E1" s="213"/>
      <c r="F1" s="213"/>
      <c r="G1" s="213"/>
      <c r="H1" s="213"/>
      <c r="I1" s="213"/>
      <c r="J1" s="213"/>
      <c r="K1" s="213"/>
      <c r="L1" s="213"/>
      <c r="M1" s="213"/>
      <c r="N1" s="213" t="s">
        <v>194</v>
      </c>
      <c r="O1" s="213"/>
      <c r="P1" s="213"/>
      <c r="Q1" s="213"/>
      <c r="R1" s="213"/>
      <c r="S1" s="213"/>
      <c r="T1" s="213"/>
      <c r="U1" s="213"/>
      <c r="V1" s="213"/>
      <c r="W1" s="213"/>
      <c r="X1" s="213"/>
    </row>
    <row r="2" spans="1:65" x14ac:dyDescent="0.25">
      <c r="A2" s="5"/>
      <c r="B2" s="5" t="s">
        <v>16</v>
      </c>
      <c r="C2" s="6"/>
      <c r="D2" s="4"/>
      <c r="E2" s="5"/>
      <c r="F2" s="5"/>
      <c r="G2" s="5"/>
      <c r="H2" s="5"/>
      <c r="I2" s="5"/>
      <c r="J2" s="5"/>
      <c r="K2" s="5"/>
      <c r="L2" s="5"/>
      <c r="M2" s="5"/>
      <c r="O2"/>
    </row>
    <row r="3" spans="1:65" ht="15.75" thickBot="1" x14ac:dyDescent="0.3">
      <c r="A3" s="5"/>
      <c r="B3" s="5" t="s">
        <v>17</v>
      </c>
      <c r="C3" s="7"/>
      <c r="D3" s="4"/>
      <c r="E3" s="5"/>
      <c r="F3" s="14"/>
      <c r="G3" s="15"/>
      <c r="H3" s="15"/>
      <c r="I3" s="15"/>
      <c r="J3" s="15"/>
      <c r="K3" s="24"/>
      <c r="L3" s="5"/>
      <c r="M3" s="5"/>
      <c r="O3" t="s">
        <v>481</v>
      </c>
    </row>
    <row r="4" spans="1:65" ht="15.75" thickBot="1" x14ac:dyDescent="0.3">
      <c r="A4" s="5"/>
      <c r="B4" s="5" t="s">
        <v>18</v>
      </c>
      <c r="C4" s="8"/>
      <c r="D4" s="4"/>
      <c r="E4" s="5"/>
      <c r="F4" s="14"/>
      <c r="G4" s="15"/>
      <c r="H4" s="15"/>
      <c r="I4" s="15"/>
      <c r="J4" s="15"/>
      <c r="K4" s="24"/>
      <c r="L4" s="5"/>
      <c r="M4" s="5"/>
      <c r="N4" s="177"/>
      <c r="O4" s="67"/>
      <c r="P4" s="224" t="s">
        <v>454</v>
      </c>
      <c r="Q4" s="224"/>
      <c r="R4" s="224"/>
      <c r="S4" s="224"/>
      <c r="T4" s="224"/>
      <c r="U4" s="224"/>
      <c r="V4" s="224"/>
      <c r="W4" s="224"/>
      <c r="X4" s="224"/>
      <c r="Y4" s="224"/>
      <c r="Z4" s="224"/>
      <c r="AA4" s="224"/>
      <c r="AB4" s="224"/>
      <c r="AC4" s="224"/>
      <c r="AD4" s="224"/>
      <c r="AE4" s="225"/>
      <c r="AF4" s="223" t="s">
        <v>571</v>
      </c>
      <c r="AG4" s="224"/>
      <c r="AH4" s="224"/>
      <c r="AI4" s="224"/>
      <c r="AJ4" s="224"/>
      <c r="AK4" s="224"/>
      <c r="AL4" s="224"/>
      <c r="AM4" s="224"/>
      <c r="AN4" s="224"/>
      <c r="AO4" s="224"/>
      <c r="AP4" s="224"/>
      <c r="AQ4" s="224"/>
      <c r="AR4" s="225"/>
      <c r="AS4" s="223" t="s">
        <v>225</v>
      </c>
      <c r="AT4" s="224"/>
      <c r="AU4" s="224"/>
      <c r="AV4" s="224"/>
      <c r="AW4" s="224"/>
      <c r="AX4" s="224"/>
      <c r="AY4" s="224"/>
      <c r="AZ4" s="224"/>
      <c r="BA4" s="224"/>
      <c r="BB4" s="224"/>
      <c r="BC4" s="224"/>
      <c r="BD4" s="224"/>
      <c r="BE4" s="225"/>
      <c r="BF4" s="223" t="s">
        <v>484</v>
      </c>
      <c r="BG4" s="224"/>
      <c r="BH4" s="225"/>
      <c r="BI4" s="223" t="s">
        <v>485</v>
      </c>
      <c r="BJ4" s="224"/>
      <c r="BK4" s="225"/>
      <c r="BL4" s="233" t="s">
        <v>486</v>
      </c>
      <c r="BM4" s="234"/>
    </row>
    <row r="5" spans="1:65" ht="15.75" thickBot="1" x14ac:dyDescent="0.3">
      <c r="A5" s="5"/>
      <c r="D5" s="4"/>
      <c r="E5" s="5"/>
      <c r="F5" s="5"/>
      <c r="G5" s="5"/>
      <c r="H5" s="5"/>
      <c r="I5" s="5"/>
      <c r="J5" s="5"/>
      <c r="K5" s="5"/>
      <c r="L5" s="5"/>
      <c r="M5" s="5"/>
      <c r="N5" s="178"/>
      <c r="O5" s="43"/>
      <c r="Q5" s="229" t="s">
        <v>217</v>
      </c>
      <c r="R5" s="229"/>
      <c r="S5" s="229"/>
      <c r="T5" s="227" t="s">
        <v>219</v>
      </c>
      <c r="U5" s="227"/>
      <c r="V5" s="227"/>
      <c r="W5" s="227" t="s">
        <v>219</v>
      </c>
      <c r="X5" s="227"/>
      <c r="Y5" s="227"/>
      <c r="Z5" s="227" t="s">
        <v>222</v>
      </c>
      <c r="AA5" s="227"/>
      <c r="AB5" s="227"/>
      <c r="AC5" s="226" t="s">
        <v>224</v>
      </c>
      <c r="AD5" s="227"/>
      <c r="AE5" s="228"/>
      <c r="AF5" s="153"/>
      <c r="AG5" s="229" t="s">
        <v>217</v>
      </c>
      <c r="AH5" s="229"/>
      <c r="AI5" s="229"/>
      <c r="AJ5" s="230" t="s">
        <v>219</v>
      </c>
      <c r="AK5" s="230"/>
      <c r="AL5" s="230"/>
      <c r="AM5" s="227" t="s">
        <v>258</v>
      </c>
      <c r="AN5" s="227"/>
      <c r="AO5" s="227"/>
      <c r="AP5" s="231" t="s">
        <v>224</v>
      </c>
      <c r="AQ5" s="230"/>
      <c r="AR5" s="232"/>
      <c r="AT5" s="227" t="s">
        <v>231</v>
      </c>
      <c r="AU5" s="227"/>
      <c r="AV5" s="227"/>
      <c r="AW5" s="227" t="s">
        <v>232</v>
      </c>
      <c r="AX5" s="227"/>
      <c r="AY5" s="227"/>
      <c r="AZ5" s="227" t="s">
        <v>226</v>
      </c>
      <c r="BA5" s="227"/>
      <c r="BB5" s="227"/>
      <c r="BC5" s="226" t="s">
        <v>224</v>
      </c>
      <c r="BD5" s="227"/>
      <c r="BE5" s="228"/>
      <c r="BF5" s="226" t="s">
        <v>224</v>
      </c>
      <c r="BG5" s="227"/>
      <c r="BH5" s="228"/>
      <c r="BI5" s="226" t="s">
        <v>224</v>
      </c>
      <c r="BJ5" s="227"/>
      <c r="BK5" s="228"/>
      <c r="BL5" s="226" t="s">
        <v>224</v>
      </c>
      <c r="BM5" s="228"/>
    </row>
    <row r="6" spans="1:65" ht="15.75" thickBot="1" x14ac:dyDescent="0.3">
      <c r="A6" s="9" t="s">
        <v>19</v>
      </c>
      <c r="B6" s="9" t="s">
        <v>20</v>
      </c>
      <c r="C6" s="9" t="s">
        <v>21</v>
      </c>
      <c r="D6" s="4"/>
      <c r="E6" s="214" t="s">
        <v>22</v>
      </c>
      <c r="F6" s="214"/>
      <c r="G6" s="214"/>
      <c r="H6" s="214"/>
      <c r="I6" s="214"/>
      <c r="J6" s="214"/>
      <c r="K6" s="214"/>
      <c r="L6" s="5"/>
      <c r="M6" s="9"/>
      <c r="N6" s="178"/>
      <c r="O6" s="43"/>
      <c r="P6" s="65" t="s">
        <v>200</v>
      </c>
      <c r="Q6" s="62" t="s">
        <v>223</v>
      </c>
      <c r="R6" s="64" t="s">
        <v>220</v>
      </c>
      <c r="S6" s="64" t="s">
        <v>221</v>
      </c>
      <c r="T6" s="64" t="s">
        <v>223</v>
      </c>
      <c r="U6" s="64" t="s">
        <v>220</v>
      </c>
      <c r="V6" s="64" t="s">
        <v>221</v>
      </c>
      <c r="W6" s="64" t="s">
        <v>223</v>
      </c>
      <c r="X6" s="64" t="s">
        <v>220</v>
      </c>
      <c r="Y6" s="64" t="s">
        <v>221</v>
      </c>
      <c r="Z6" s="64" t="s">
        <v>223</v>
      </c>
      <c r="AA6" s="64" t="s">
        <v>220</v>
      </c>
      <c r="AB6" s="64" t="s">
        <v>221</v>
      </c>
      <c r="AC6" s="65" t="s">
        <v>235</v>
      </c>
      <c r="AD6" s="64" t="s">
        <v>220</v>
      </c>
      <c r="AE6" s="181" t="s">
        <v>221</v>
      </c>
      <c r="AF6" s="182" t="s">
        <v>200</v>
      </c>
      <c r="AG6" s="183" t="s">
        <v>223</v>
      </c>
      <c r="AH6" s="183" t="s">
        <v>234</v>
      </c>
      <c r="AI6" s="183" t="s">
        <v>221</v>
      </c>
      <c r="AJ6" s="183" t="s">
        <v>223</v>
      </c>
      <c r="AK6" s="183" t="s">
        <v>234</v>
      </c>
      <c r="AL6" s="183" t="s">
        <v>221</v>
      </c>
      <c r="AM6" s="183" t="s">
        <v>223</v>
      </c>
      <c r="AN6" s="183" t="s">
        <v>234</v>
      </c>
      <c r="AO6" s="183" t="s">
        <v>221</v>
      </c>
      <c r="AP6" s="65" t="s">
        <v>235</v>
      </c>
      <c r="AQ6" s="64" t="s">
        <v>220</v>
      </c>
      <c r="AR6" s="181" t="s">
        <v>221</v>
      </c>
      <c r="AS6" s="65" t="s">
        <v>233</v>
      </c>
      <c r="AT6" s="64" t="s">
        <v>223</v>
      </c>
      <c r="AU6" s="64" t="s">
        <v>234</v>
      </c>
      <c r="AV6" s="64" t="s">
        <v>221</v>
      </c>
      <c r="AW6" s="64" t="s">
        <v>223</v>
      </c>
      <c r="AX6" s="64" t="s">
        <v>234</v>
      </c>
      <c r="AY6" s="64" t="s">
        <v>221</v>
      </c>
      <c r="AZ6" s="64" t="s">
        <v>223</v>
      </c>
      <c r="BA6" s="64" t="s">
        <v>234</v>
      </c>
      <c r="BB6" s="64" t="s">
        <v>221</v>
      </c>
      <c r="BC6" s="65" t="s">
        <v>235</v>
      </c>
      <c r="BD6" s="64" t="s">
        <v>220</v>
      </c>
      <c r="BE6" s="181" t="s">
        <v>221</v>
      </c>
      <c r="BF6" s="65" t="s">
        <v>235</v>
      </c>
      <c r="BG6" s="64" t="s">
        <v>220</v>
      </c>
      <c r="BH6" s="181" t="s">
        <v>221</v>
      </c>
      <c r="BI6" s="65" t="s">
        <v>235</v>
      </c>
      <c r="BJ6" s="64" t="s">
        <v>220</v>
      </c>
      <c r="BK6" s="181" t="s">
        <v>221</v>
      </c>
      <c r="BL6" s="65" t="s">
        <v>220</v>
      </c>
      <c r="BM6" s="181" t="s">
        <v>221</v>
      </c>
    </row>
    <row r="7" spans="1:65" ht="15.75" thickBot="1" x14ac:dyDescent="0.3">
      <c r="A7" s="9"/>
      <c r="B7" s="9"/>
      <c r="C7" s="9"/>
      <c r="D7" s="4"/>
      <c r="E7" s="5"/>
      <c r="F7" s="5"/>
      <c r="G7" s="5"/>
      <c r="H7" s="5"/>
      <c r="I7" s="5"/>
      <c r="J7" s="5"/>
      <c r="K7" s="5"/>
      <c r="L7" s="5"/>
      <c r="M7" s="9"/>
      <c r="N7" s="178" t="s">
        <v>397</v>
      </c>
      <c r="O7" s="67">
        <f>fcross</f>
        <v>5500</v>
      </c>
      <c r="P7" s="63" t="str">
        <f>COMPLEX(ADC_VINmin,0)</f>
        <v>17.8398058252427</v>
      </c>
      <c r="Q7" s="64" t="str">
        <f>IMSUM(COMPLEX(1,0),IMDIV(COMPLEX(0,2*PI()*O7),COMPLEX(wp_lf_VINmin,0)))</f>
        <v>1+9.12727409287059i</v>
      </c>
      <c r="R7" s="64">
        <f t="shared" ref="R7:R13" si="0">IMABS(Q7)</f>
        <v>9.1818915462113075</v>
      </c>
      <c r="S7" s="64">
        <f t="shared" ref="S7:S13" si="1">IMARGUMENT(Q7)</f>
        <v>1.4616698444370324</v>
      </c>
      <c r="T7" s="64" t="str">
        <f>IMSUM(COMPLEX(1,0),IMDIV(COMPLEX(0,2*PI()*O7),COMPLEX(wz_esr_VINmin,0)))</f>
        <v>1+0.129936272152474i</v>
      </c>
      <c r="U7" s="64">
        <f t="shared" ref="U7:U13" si="2">IMABS(T7)</f>
        <v>1.0084063837664266</v>
      </c>
      <c r="V7" s="64">
        <f t="shared" ref="V7:V13" si="3">IMARGUMENT(T7)</f>
        <v>0.12921233479193933</v>
      </c>
      <c r="W7" s="62" t="str">
        <f>IMSUB(COMPLEX(1,0),IMDIV(COMPLEX(0,2*PI()*O7),COMPLEX(wz_RHP_VINmin,0)))</f>
        <v>1-0.108856185446886i</v>
      </c>
      <c r="X7" s="64">
        <f t="shared" ref="X7:X13" si="4">IMABS(W7)</f>
        <v>1.0059073859506387</v>
      </c>
      <c r="Y7" s="64">
        <f t="shared" ref="Y7:Y13" si="5">IMARGUMENT(W7)</f>
        <v>-0.10842924688323013</v>
      </c>
      <c r="Z7" s="62" t="str">
        <f>IMSUM(COMPLEX(1,0),IMDIV(COMPLEX(0,2*PI()*O7),COMPLEX(Q_VINmin*(wsl_VINmin/2),0)),IMDIV(IMPOWER(COMPLEX(0,2*PI()*O7),2),IMPOWER(COMPLEX(wsl_VINmin/2,0),2)))</f>
        <v>0.99996975+0.0489564855184409i</v>
      </c>
      <c r="AA7" s="64">
        <f t="shared" ref="AA7:AA13" si="6">IMABS(Z7)</f>
        <v>1.0011674377392525</v>
      </c>
      <c r="AB7" s="64">
        <f t="shared" ref="AB7:AB13" si="7">IMARGUMENT(Z7)</f>
        <v>4.8918907156506652E-2</v>
      </c>
      <c r="AC7" s="65" t="str">
        <f t="shared" ref="AC7:AC13" si="8">(IMDIV(IMPRODUCT(P7,T7,W7),IMPRODUCT(Q7,Z7)))</f>
        <v>0.159259332448656-1.96208987687683i</v>
      </c>
      <c r="AD7" s="66">
        <f t="shared" ref="AD7:AD13" si="9">20*LOG(IMABS(AC7))</f>
        <v>5.8828966327750063</v>
      </c>
      <c r="AE7" s="67">
        <f t="shared" ref="AE7:AE13" si="10">(180/PI())*IMARGUMENT(AC7)</f>
        <v>-85.359576823827283</v>
      </c>
      <c r="AF7" s="52" t="str">
        <f t="shared" ref="AF7:AF13" si="11">COMPLEX($B$72,0)</f>
        <v>72.2956529813786</v>
      </c>
      <c r="AG7" s="55" t="str">
        <f t="shared" ref="AG7:AG13" si="12">IMSUM(COMPLEX(1,0),IMDIV(COMPLEX(0,2*PI()*O7),COMPLEX(wp_lf_DCM,0)))</f>
        <v>1+6.82165428800487i</v>
      </c>
      <c r="AH7" s="55">
        <f>IMABS(AG7)</f>
        <v>6.8945606984821897</v>
      </c>
      <c r="AI7" s="55">
        <f>IMARGUMENT(AG7)</f>
        <v>1.4252410334966685</v>
      </c>
      <c r="AJ7" s="55" t="str">
        <f t="shared" ref="AJ7:AJ13" si="13">IMSUM(COMPLEX(1,0),IMDIV(COMPLEX(0,2*PI()*O7),COMPLEX(wz1_dcm,0)))</f>
        <v>1+0.129936272152474i</v>
      </c>
      <c r="AK7" s="55">
        <f>IMABS(AJ7)</f>
        <v>1.0084063837664266</v>
      </c>
      <c r="AL7" s="55">
        <f>IMARGUMENT(AJ7)</f>
        <v>0.12921233479193933</v>
      </c>
      <c r="AM7" s="55" t="str">
        <f t="shared" ref="AM7:AM13" si="14">IMSUB(COMPLEX(1,0),IMDIV(COMPLEX(0,2*PI()*O7),COMPLEX(wz2_dcm,0)))</f>
        <v>1-0.0167300870383911i</v>
      </c>
      <c r="AN7" s="55">
        <f>IMABS(AM7)</f>
        <v>1.0001399381148182</v>
      </c>
      <c r="AO7" s="55">
        <f>IMARGUMENT(AM7)</f>
        <v>-1.672852640670406E-2</v>
      </c>
      <c r="AP7" s="52" t="str">
        <f>(IMDIV(IMPRODUCT(AF7,AJ7,AM7),IMPRODUCT(AG7)))</f>
        <v>2.69871608303475-10.2253930655882i</v>
      </c>
      <c r="AQ7" s="55">
        <f>20*LOG(IMABS(AP7))</f>
        <v>20.486038834004042</v>
      </c>
      <c r="AR7" s="58">
        <f>(180/PI())*IMARGUMENT(AP7)</f>
        <v>-75.215448524190393</v>
      </c>
      <c r="AS7" s="39" t="str">
        <f t="shared" ref="AS7:AS13" si="15">COMPLEX(Adc_ea,0)</f>
        <v>-0.0000166666666666667</v>
      </c>
      <c r="AT7" s="39" t="str">
        <f t="shared" ref="AT7:AT13" si="16">COMPLEX(0,2*PI()*O7*wp0_ea)</f>
        <v>0.000117495565244258i</v>
      </c>
      <c r="AU7" s="39">
        <f t="shared" ref="AU7:AU13" si="17">IMABS(AT7)</f>
        <v>1.17495565244258E-4</v>
      </c>
      <c r="AV7" s="39">
        <f t="shared" ref="AV7:AV13" si="18">IMARGUMENT(AT7)</f>
        <v>1.5707963267948966</v>
      </c>
      <c r="AW7" s="39" t="str">
        <f t="shared" ref="AW7:AW13" si="19">IMSUM(COMPLEX(1,0),IMDIV(COMPLEX(0,2*PI()*O7),COMPLEX(wp1_ea,0)))</f>
        <v>1+0.117393925481936i</v>
      </c>
      <c r="AX7" s="39">
        <f t="shared" ref="AX7:AX13" si="20">IMABS(AW7)</f>
        <v>1.0068670884183564</v>
      </c>
      <c r="AY7" s="39">
        <f t="shared" ref="AY7:AY13" si="21">IMARGUMENT(AW7)</f>
        <v>0.11685905964153334</v>
      </c>
      <c r="AZ7" s="39" t="str">
        <f t="shared" ref="AZ7:AZ13" si="22">IMSUM(COMPLEX(1,0),IMDIV(COMPLEX(0,2*PI()*O7),COMPLEX(wz_ea,0)))</f>
        <v>1+3.99139346638583i</v>
      </c>
      <c r="BA7" s="39">
        <f t="shared" ref="BA7:BA13" si="23">IMABS(AZ7)</f>
        <v>4.1147565910400452</v>
      </c>
      <c r="BB7" s="39">
        <f t="shared" ref="BB7:BB13" si="24">IMARGUMENT(AZ7)</f>
        <v>1.3253103697241853</v>
      </c>
      <c r="BC7" s="44" t="str">
        <f t="shared" ref="BC7:BC13" si="25">IMPRODUCT(AS7,IMDIV(AZ7,IMPRODUCT(AT7,AW7)))</f>
        <v>-0.542053994450633+0.20548317162557i</v>
      </c>
      <c r="BD7" s="39">
        <f t="shared" ref="BD7:BD13" si="26">20*LOG(IMABS(BC7))</f>
        <v>-4.73601441942174</v>
      </c>
      <c r="BE7" s="45">
        <f t="shared" ref="BE7:BE13" si="27">(180/PI())*IMARGUMENT(BC7)</f>
        <v>159.23915981479109</v>
      </c>
      <c r="BF7" s="44" t="str">
        <f t="shared" ref="BF7:BF13" si="28">IMPRODUCT(AC7,BC7)</f>
        <v>0.31684929360774+1.09628376797476i</v>
      </c>
      <c r="BG7" s="46">
        <f t="shared" ref="BG7:BG13" si="29">20*LOG(IMABS(BF7))</f>
        <v>1.1468822133532883</v>
      </c>
      <c r="BH7" s="45">
        <f t="shared" ref="BH7:BH13" si="30">(180/PI())*IMARGUMENT(BF7)</f>
        <v>73.879582990963854</v>
      </c>
      <c r="BI7" s="44" t="str">
        <f>IMPRODUCT(AP7,BC7)</f>
        <v>0.638296365538021+6.0972558960888i</v>
      </c>
      <c r="BJ7" s="46">
        <f t="shared" ref="BJ7:BJ13" si="31">20*LOG(IMABS(BI7))</f>
        <v>15.750024414582303</v>
      </c>
      <c r="BK7" s="45">
        <f t="shared" ref="BK7:BK13" si="32">(180/PI())*IMARGUMENT(BI7)</f>
        <v>84.02371129060073</v>
      </c>
      <c r="BL7" s="41">
        <f>IF($B$31=0,BJ7,BG7)</f>
        <v>1.1468822133532883</v>
      </c>
      <c r="BM7" s="43">
        <f>IF($B$31=0,BK7,BH7)</f>
        <v>73.879582990963854</v>
      </c>
    </row>
    <row r="8" spans="1:65" ht="15.75" thickBot="1" x14ac:dyDescent="0.3">
      <c r="A8" s="9"/>
      <c r="B8" s="9"/>
      <c r="C8" s="9"/>
      <c r="D8" s="4"/>
      <c r="E8" s="5"/>
      <c r="F8" s="5"/>
      <c r="G8" s="5"/>
      <c r="H8" s="5"/>
      <c r="I8" s="5"/>
      <c r="J8" s="5"/>
      <c r="K8" s="5"/>
      <c r="L8" s="5"/>
      <c r="M8" s="9"/>
      <c r="N8" s="177" t="s">
        <v>572</v>
      </c>
      <c r="O8" s="67">
        <f>fcross</f>
        <v>5500</v>
      </c>
      <c r="P8" s="63" t="str">
        <f t="shared" ref="P8:P13" si="33">COMPLEX(Adc,0)</f>
        <v>19.6196196196196</v>
      </c>
      <c r="Q8" s="64" t="str">
        <f t="shared" ref="Q8:Q13" si="34">IMSUM(COMPLEX(1,0),IMDIV(COMPLEX(0,2*PI()*O8),COMPLEX(wp_lf,0)))</f>
        <v>1+8.36489139420017i</v>
      </c>
      <c r="R8" s="64">
        <f t="shared" si="0"/>
        <v>8.4244529814560707</v>
      </c>
      <c r="S8" s="64">
        <f t="shared" si="1"/>
        <v>1.4518137196363556</v>
      </c>
      <c r="T8" s="64" t="str">
        <f t="shared" ref="T8:T13" si="35">IMSUM(COMPLEX(1,0),IMDIV(COMPLEX(0,2*PI()*O8),COMPLEX(wz_esr,0)))</f>
        <v>1+0.129936272152474i</v>
      </c>
      <c r="U8" s="64">
        <f t="shared" si="2"/>
        <v>1.0084063837664266</v>
      </c>
      <c r="V8" s="64">
        <f t="shared" si="3"/>
        <v>0.12921233479193933</v>
      </c>
      <c r="W8" s="62" t="str">
        <f t="shared" ref="W8:W13" si="36">IMSUB(COMPLEX(1,0),IMDIV(COMPLEX(0,2*PI()*O8),COMPLEX(wz_rhp,0)))</f>
        <v>1-0.0755945732270044i</v>
      </c>
      <c r="X8" s="64">
        <f t="shared" si="4"/>
        <v>1.0028531993773431</v>
      </c>
      <c r="Y8" s="64">
        <f t="shared" si="5"/>
        <v>-7.5451068885068501E-2</v>
      </c>
      <c r="Z8" s="62" t="str">
        <f t="shared" ref="Z8:Z13" si="37">IMSUM(COMPLEX(1,0),IMDIV(COMPLEX(0,2*PI()*O8),COMPLEX(Q*(wsl/2),0)),IMDIV(IMPOWER(COMPLEX(0,2*PI()*O8),2),IMPOWER(COMPLEX(wsl/2,0),2)))</f>
        <v>0.99996975+0.0506020816703213i</v>
      </c>
      <c r="AA8" s="64">
        <f t="shared" si="6"/>
        <v>1.0012492554725982</v>
      </c>
      <c r="AB8" s="64">
        <f t="shared" si="7"/>
        <v>5.0560484684775149E-2</v>
      </c>
      <c r="AC8" s="65" t="str">
        <f t="shared" si="8"/>
        <v>0.286688757431472-2.33469296843305i</v>
      </c>
      <c r="AD8" s="66">
        <f t="shared" si="9"/>
        <v>7.4295923385230855</v>
      </c>
      <c r="AE8" s="67">
        <f t="shared" si="10"/>
        <v>-82.999407519181744</v>
      </c>
      <c r="AF8" s="41" t="str">
        <f t="shared" si="11"/>
        <v>72.2956529813786</v>
      </c>
      <c r="AG8" t="str">
        <f t="shared" si="12"/>
        <v>1+6.82165428800487i</v>
      </c>
      <c r="AH8">
        <f t="shared" ref="AH8:AH13" si="38">IMABS(AG8)</f>
        <v>6.8945606984821897</v>
      </c>
      <c r="AI8">
        <f t="shared" ref="AI8:AI13" si="39">IMARGUMENT(AG8)</f>
        <v>1.4252410334966685</v>
      </c>
      <c r="AJ8" t="str">
        <f t="shared" si="13"/>
        <v>1+0.129936272152474i</v>
      </c>
      <c r="AK8">
        <f t="shared" ref="AK8:AK13" si="40">IMABS(AJ8)</f>
        <v>1.0084063837664266</v>
      </c>
      <c r="AL8">
        <f t="shared" ref="AL8:AL13" si="41">IMARGUMENT(AJ8)</f>
        <v>0.12921233479193933</v>
      </c>
      <c r="AM8" t="str">
        <f t="shared" si="14"/>
        <v>1-0.0167300870383911i</v>
      </c>
      <c r="AN8">
        <f t="shared" ref="AN8:AN13" si="42">IMABS(AM8)</f>
        <v>1.0001399381148182</v>
      </c>
      <c r="AO8">
        <f t="shared" ref="AO8:AO13" si="43">IMARGUMENT(AM8)</f>
        <v>-1.672852640670406E-2</v>
      </c>
      <c r="AP8" s="41" t="str">
        <f t="shared" ref="AP8:AP13" si="44">(IMDIV(IMPRODUCT(AF8,AJ8,AM8),IMPRODUCT(AG8)))</f>
        <v>2.69871608303475-10.2253930655882i</v>
      </c>
      <c r="AQ8">
        <f t="shared" ref="AQ8:AQ13" si="45">20*LOG(IMABS(AP8))</f>
        <v>20.486038834004042</v>
      </c>
      <c r="AR8" s="43">
        <f t="shared" ref="AR8:AR13" si="46">(180/PI())*IMARGUMENT(AP8)</f>
        <v>-75.215448524190393</v>
      </c>
      <c r="AS8" s="62" t="str">
        <f t="shared" si="15"/>
        <v>-0.0000166666666666667</v>
      </c>
      <c r="AT8" s="62" t="str">
        <f t="shared" si="16"/>
        <v>0.000117495565244258i</v>
      </c>
      <c r="AU8" s="62">
        <f t="shared" si="17"/>
        <v>1.17495565244258E-4</v>
      </c>
      <c r="AV8" s="62">
        <f t="shared" si="18"/>
        <v>1.5707963267948966</v>
      </c>
      <c r="AW8" s="62" t="str">
        <f t="shared" si="19"/>
        <v>1+0.117393925481936i</v>
      </c>
      <c r="AX8" s="62">
        <f t="shared" si="20"/>
        <v>1.0068670884183564</v>
      </c>
      <c r="AY8" s="62">
        <f t="shared" si="21"/>
        <v>0.11685905964153334</v>
      </c>
      <c r="AZ8" s="62" t="str">
        <f t="shared" si="22"/>
        <v>1+3.99139346638583i</v>
      </c>
      <c r="BA8" s="62">
        <f t="shared" si="23"/>
        <v>4.1147565910400452</v>
      </c>
      <c r="BB8" s="62">
        <f t="shared" si="24"/>
        <v>1.3253103697241853</v>
      </c>
      <c r="BC8" s="61" t="str">
        <f t="shared" si="25"/>
        <v>-0.542053994450633+0.20548317162557i</v>
      </c>
      <c r="BD8" s="62">
        <f t="shared" si="26"/>
        <v>-4.73601441942174</v>
      </c>
      <c r="BE8" s="67">
        <f t="shared" si="27"/>
        <v>159.23915981479109</v>
      </c>
      <c r="BF8" s="61" t="str">
        <f t="shared" si="28"/>
        <v>0.324339329795722+1.32443936450135i</v>
      </c>
      <c r="BG8" s="66">
        <f t="shared" si="29"/>
        <v>2.693577919101326</v>
      </c>
      <c r="BH8" s="67">
        <f t="shared" si="30"/>
        <v>76.239752295609321</v>
      </c>
      <c r="BI8" s="61" t="str">
        <f t="shared" ref="BI8:BI13" si="47">IMPRODUCT(AP8,BC8)</f>
        <v>0.638296365538021+6.0972558960888i</v>
      </c>
      <c r="BJ8" s="66">
        <f t="shared" si="31"/>
        <v>15.750024414582303</v>
      </c>
      <c r="BK8" s="67">
        <f t="shared" si="32"/>
        <v>84.02371129060073</v>
      </c>
      <c r="BL8" s="41">
        <f t="shared" ref="BL8:BL13" si="48">IF($B$31=0,BJ8,BG8)</f>
        <v>2.693577919101326</v>
      </c>
      <c r="BM8" s="43">
        <f t="shared" ref="BM8:BM13" si="49">IF($B$31=0,BK8,BH8)</f>
        <v>76.239752295609321</v>
      </c>
    </row>
    <row r="9" spans="1:65" ht="15.75" thickBot="1" x14ac:dyDescent="0.3">
      <c r="A9" s="50" t="s">
        <v>172</v>
      </c>
      <c r="B9" s="9"/>
      <c r="C9" s="9"/>
      <c r="D9" s="4"/>
      <c r="E9" s="5"/>
      <c r="F9" s="5"/>
      <c r="G9" s="5"/>
      <c r="H9" s="5"/>
      <c r="I9" s="5"/>
      <c r="J9" s="5"/>
      <c r="K9" s="5"/>
      <c r="L9" s="5"/>
      <c r="M9" s="9"/>
      <c r="N9" s="179" t="s">
        <v>258</v>
      </c>
      <c r="O9" s="68">
        <f>IF($B$31=0,B78,wz_rhp/(2*PI()))</f>
        <v>72756.545413437867</v>
      </c>
      <c r="P9" s="53" t="str">
        <f t="shared" si="33"/>
        <v>19.6196196196196</v>
      </c>
      <c r="Q9" s="54" t="str">
        <f t="shared" si="34"/>
        <v>1+110.654654654655i</v>
      </c>
      <c r="R9" s="54">
        <f t="shared" si="0"/>
        <v>110.65917312514568</v>
      </c>
      <c r="S9" s="54">
        <f t="shared" si="1"/>
        <v>1.5617594473139351</v>
      </c>
      <c r="T9" s="54" t="str">
        <f t="shared" si="35"/>
        <v>1+1.71885714285714i</v>
      </c>
      <c r="U9" s="54">
        <f t="shared" si="2"/>
        <v>1.9885848932220649</v>
      </c>
      <c r="V9" s="54">
        <f t="shared" si="3"/>
        <v>1.0438801949811822</v>
      </c>
      <c r="W9" s="55" t="str">
        <f t="shared" si="36"/>
        <v>1-i</v>
      </c>
      <c r="X9" s="54">
        <f t="shared" si="4"/>
        <v>1.4142135623730951</v>
      </c>
      <c r="Y9" s="54">
        <f t="shared" si="5"/>
        <v>-0.78539816339744828</v>
      </c>
      <c r="Z9" s="55" t="str">
        <f t="shared" si="37"/>
        <v>0.994706485099502+0.66938775510204i</v>
      </c>
      <c r="AA9" s="54">
        <f t="shared" si="6"/>
        <v>1.1989666209613821</v>
      </c>
      <c r="AB9" s="54">
        <f t="shared" si="7"/>
        <v>0.5923400157846429</v>
      </c>
      <c r="AC9" s="56" t="str">
        <f t="shared" si="8"/>
        <v>-0.132719710071965-0.394121089064279i</v>
      </c>
      <c r="AD9" s="57">
        <f t="shared" si="9"/>
        <v>-7.6208959295270784</v>
      </c>
      <c r="AE9" s="58">
        <f t="shared" si="10"/>
        <v>-108.61087839722998</v>
      </c>
      <c r="AF9" s="41" t="str">
        <f t="shared" si="11"/>
        <v>72.2956529813786</v>
      </c>
      <c r="AG9" t="str">
        <f t="shared" si="12"/>
        <v>1+90.2399999999999i</v>
      </c>
      <c r="AH9">
        <f t="shared" si="38"/>
        <v>90.245540610048877</v>
      </c>
      <c r="AI9">
        <f t="shared" si="39"/>
        <v>1.5597152200866042</v>
      </c>
      <c r="AJ9" t="str">
        <f t="shared" si="13"/>
        <v>1+1.71885714285714i</v>
      </c>
      <c r="AK9">
        <f t="shared" si="40"/>
        <v>1.9885848932220649</v>
      </c>
      <c r="AL9">
        <f t="shared" si="41"/>
        <v>1.0438801949811822</v>
      </c>
      <c r="AM9" t="str">
        <f t="shared" si="14"/>
        <v>1-0.221313334068995i</v>
      </c>
      <c r="AN9">
        <f t="shared" si="42"/>
        <v>1.0241970473677098</v>
      </c>
      <c r="AO9">
        <f t="shared" si="43"/>
        <v>-0.21780266241063095</v>
      </c>
      <c r="AP9" s="41" t="str">
        <f t="shared" si="44"/>
        <v>1.21186157576015-1.09248107203549i</v>
      </c>
      <c r="AQ9">
        <f t="shared" si="45"/>
        <v>4.2522817824085388</v>
      </c>
      <c r="AR9" s="43">
        <f t="shared" si="46"/>
        <v>-42.034343186407234</v>
      </c>
      <c r="AS9" s="55" t="str">
        <f t="shared" si="15"/>
        <v>-0.0000166666666666667</v>
      </c>
      <c r="AT9" s="55" t="str">
        <f t="shared" si="16"/>
        <v>0.00155428571428571i</v>
      </c>
      <c r="AU9" s="55">
        <f t="shared" si="17"/>
        <v>1.5542857142857101E-3</v>
      </c>
      <c r="AV9" s="55">
        <f t="shared" si="18"/>
        <v>1.5707963267948966</v>
      </c>
      <c r="AW9" s="55" t="str">
        <f t="shared" si="19"/>
        <v>1+1.55294117647059i</v>
      </c>
      <c r="AX9" s="55">
        <f t="shared" si="20"/>
        <v>1.8470588235294134</v>
      </c>
      <c r="AY9" s="55">
        <f t="shared" si="21"/>
        <v>0.99869344336026067</v>
      </c>
      <c r="AZ9" s="55" t="str">
        <f t="shared" si="22"/>
        <v>1+52.8i</v>
      </c>
      <c r="BA9" s="55">
        <f t="shared" si="23"/>
        <v>52.809468847925366</v>
      </c>
      <c r="BB9" s="55">
        <f t="shared" si="24"/>
        <v>1.5518591968925157</v>
      </c>
      <c r="BC9" s="52" t="str">
        <f t="shared" si="25"/>
        <v>-0.161073978660392+0.260861453135356i</v>
      </c>
      <c r="BD9" s="55">
        <f t="shared" si="26"/>
        <v>-10.269020660083484</v>
      </c>
      <c r="BE9" s="58">
        <f t="shared" si="27"/>
        <v>121.69406304857193</v>
      </c>
      <c r="BF9" s="52" t="str">
        <f t="shared" si="28"/>
        <v>0.124188691752542+0.0288611954604742i</v>
      </c>
      <c r="BG9" s="57">
        <f t="shared" si="29"/>
        <v>-17.889916589610564</v>
      </c>
      <c r="BH9" s="58">
        <f t="shared" si="30"/>
        <v>13.083184651341965</v>
      </c>
      <c r="BI9" s="61" t="str">
        <f t="shared" si="47"/>
        <v>0.0897868343807101+0.492098244535622i</v>
      </c>
      <c r="BJ9" s="57">
        <f t="shared" si="31"/>
        <v>-6.0167388776749409</v>
      </c>
      <c r="BK9" s="58">
        <f t="shared" si="32"/>
        <v>79.659719862164721</v>
      </c>
      <c r="BL9" s="41">
        <f t="shared" si="48"/>
        <v>-17.889916589610564</v>
      </c>
      <c r="BM9" s="43">
        <f t="shared" si="49"/>
        <v>13.083184651341965</v>
      </c>
    </row>
    <row r="10" spans="1:65" ht="15.75" thickBot="1" x14ac:dyDescent="0.3">
      <c r="A10" t="s">
        <v>25</v>
      </c>
      <c r="B10" s="3">
        <f>VIN_min</f>
        <v>10</v>
      </c>
      <c r="C10" t="s">
        <v>10</v>
      </c>
      <c r="E10" t="s">
        <v>28</v>
      </c>
      <c r="N10" s="178" t="s">
        <v>219</v>
      </c>
      <c r="O10" s="69">
        <f>IF(B31=0,B76,wz_esr/(2*PI()))</f>
        <v>42328.442311674291</v>
      </c>
      <c r="P10" s="33" t="str">
        <f t="shared" si="33"/>
        <v>19.6196196196196</v>
      </c>
      <c r="Q10" s="4" t="str">
        <f t="shared" si="34"/>
        <v>1+64.376876876877i</v>
      </c>
      <c r="R10" s="4">
        <f t="shared" si="0"/>
        <v>64.384643172270358</v>
      </c>
      <c r="S10" s="4">
        <f t="shared" si="1"/>
        <v>1.5552640482813911</v>
      </c>
      <c r="T10" s="4" t="str">
        <f t="shared" si="35"/>
        <v>1+i</v>
      </c>
      <c r="U10" s="4">
        <f t="shared" si="2"/>
        <v>1.4142135623730951</v>
      </c>
      <c r="V10" s="4">
        <f t="shared" si="3"/>
        <v>0.78539816339744828</v>
      </c>
      <c r="W10" t="str">
        <f t="shared" si="36"/>
        <v>1-0.581781914893618i</v>
      </c>
      <c r="X10" s="4">
        <f t="shared" si="4"/>
        <v>1.1569227271072537</v>
      </c>
      <c r="Y10" s="4">
        <f t="shared" si="5"/>
        <v>-0.52691613181371444</v>
      </c>
      <c r="Z10" t="str">
        <f t="shared" si="37"/>
        <v>0.998208302971467+0.389437689969605i</v>
      </c>
      <c r="AA10" s="4">
        <f t="shared" si="6"/>
        <v>1.0714856650884501</v>
      </c>
      <c r="AB10" s="4">
        <f t="shared" si="7"/>
        <v>0.3719747184142177</v>
      </c>
      <c r="AC10" s="47" t="str">
        <f t="shared" si="8"/>
        <v>-0.0455089735872468-0.463077986813305i</v>
      </c>
      <c r="AD10" s="20">
        <f t="shared" si="9"/>
        <v>-6.6451744943927569</v>
      </c>
      <c r="AE10" s="43">
        <f t="shared" si="10"/>
        <v>-95.612717955941108</v>
      </c>
      <c r="AF10" s="41" t="str">
        <f t="shared" si="11"/>
        <v>72.2956529813786</v>
      </c>
      <c r="AG10" t="str">
        <f t="shared" si="12"/>
        <v>1+52.5i</v>
      </c>
      <c r="AH10">
        <f t="shared" si="38"/>
        <v>52.509522945842882</v>
      </c>
      <c r="AI10">
        <f t="shared" si="39"/>
        <v>1.5517510108128802</v>
      </c>
      <c r="AJ10" t="str">
        <f t="shared" si="13"/>
        <v>1+i</v>
      </c>
      <c r="AK10">
        <f t="shared" si="40"/>
        <v>1.4142135623730951</v>
      </c>
      <c r="AL10">
        <f t="shared" si="41"/>
        <v>0.78539816339744828</v>
      </c>
      <c r="AM10" t="str">
        <f t="shared" si="14"/>
        <v>1-0.128756095286151i</v>
      </c>
      <c r="AN10">
        <f t="shared" si="42"/>
        <v>1.0082549935771885</v>
      </c>
      <c r="AO10">
        <f t="shared" si="43"/>
        <v>-0.12805157801752237</v>
      </c>
      <c r="AP10" s="41" t="str">
        <f t="shared" si="44"/>
        <v>1.22891626668798-1.53095700378544i</v>
      </c>
      <c r="AQ10">
        <f t="shared" si="45"/>
        <v>5.8591898282840535</v>
      </c>
      <c r="AR10" s="43">
        <f t="shared" si="46"/>
        <v>-51.245598755131745</v>
      </c>
      <c r="AS10" t="str">
        <f t="shared" si="15"/>
        <v>-0.0000166666666666667</v>
      </c>
      <c r="AT10" t="str">
        <f t="shared" si="16"/>
        <v>0.000904255319148936i</v>
      </c>
      <c r="AU10">
        <f t="shared" si="17"/>
        <v>9.0425531914893598E-4</v>
      </c>
      <c r="AV10">
        <f t="shared" si="18"/>
        <v>1.5707963267948966</v>
      </c>
      <c r="AW10" t="str">
        <f t="shared" si="19"/>
        <v>1+0.903473091364208i</v>
      </c>
      <c r="AX10">
        <f t="shared" si="20"/>
        <v>1.3476882528311949</v>
      </c>
      <c r="AY10">
        <f t="shared" si="21"/>
        <v>0.73473062642930176</v>
      </c>
      <c r="AZ10" t="str">
        <f t="shared" si="22"/>
        <v>1+30.718085106383i</v>
      </c>
      <c r="BA10">
        <f t="shared" si="23"/>
        <v>30.73435785245869</v>
      </c>
      <c r="BB10">
        <f t="shared" si="24"/>
        <v>1.5382537068938626</v>
      </c>
      <c r="BC10" s="41" t="str">
        <f t="shared" si="25"/>
        <v>-0.302557521572826+0.291783951879914i</v>
      </c>
      <c r="BD10">
        <f t="shared" si="26"/>
        <v>-7.5281524341975361</v>
      </c>
      <c r="BE10" s="43">
        <f t="shared" si="27"/>
        <v>136.03848125197015</v>
      </c>
      <c r="BF10" s="41" t="str">
        <f t="shared" si="28"/>
        <v>0.148887807278861+0.126828939825882i</v>
      </c>
      <c r="BG10" s="20">
        <f t="shared" si="29"/>
        <v>-14.173326928590305</v>
      </c>
      <c r="BH10" s="43">
        <f t="shared" si="30"/>
        <v>40.425763296029167</v>
      </c>
      <c r="BI10" s="61" t="str">
        <f t="shared" si="47"/>
        <v>0.0748908248531029+0.821780601523612i</v>
      </c>
      <c r="BJ10" s="20">
        <f t="shared" si="31"/>
        <v>-1.6689626059134772</v>
      </c>
      <c r="BK10" s="43">
        <f t="shared" si="32"/>
        <v>84.792882496838416</v>
      </c>
      <c r="BL10" s="41">
        <f t="shared" si="48"/>
        <v>-14.173326928590305</v>
      </c>
      <c r="BM10" s="43">
        <f t="shared" si="49"/>
        <v>40.425763296029167</v>
      </c>
    </row>
    <row r="11" spans="1:65" ht="15.75" thickBot="1" x14ac:dyDescent="0.3">
      <c r="A11" t="s">
        <v>26</v>
      </c>
      <c r="B11" s="3">
        <f>VIN_nom</f>
        <v>12</v>
      </c>
      <c r="C11" t="s">
        <v>10</v>
      </c>
      <c r="E11" t="s">
        <v>29</v>
      </c>
      <c r="N11" s="180" t="s">
        <v>217</v>
      </c>
      <c r="O11" s="70">
        <f>IF(B31=0,B74,wp_lf/(2*PI()))</f>
        <v>657.51003101049753</v>
      </c>
      <c r="P11" s="59" t="str">
        <f t="shared" si="33"/>
        <v>19.6196196196196</v>
      </c>
      <c r="Q11" s="38" t="str">
        <f t="shared" si="34"/>
        <v>1+i</v>
      </c>
      <c r="R11" s="38">
        <f t="shared" si="0"/>
        <v>1.4142135623730951</v>
      </c>
      <c r="S11" s="38">
        <f t="shared" si="1"/>
        <v>0.78539816339744828</v>
      </c>
      <c r="T11" s="38" t="str">
        <f t="shared" si="35"/>
        <v>1+0.015533527696793i</v>
      </c>
      <c r="U11" s="38">
        <f t="shared" si="2"/>
        <v>1.0001206379645942</v>
      </c>
      <c r="V11" s="38">
        <f t="shared" si="3"/>
        <v>1.5532278513505603E-2</v>
      </c>
      <c r="W11" s="39" t="str">
        <f t="shared" si="36"/>
        <v>1-0.00903712548849327i</v>
      </c>
      <c r="X11" s="38">
        <f t="shared" si="4"/>
        <v>1.0000408339848403</v>
      </c>
      <c r="Y11" s="38">
        <f t="shared" si="5"/>
        <v>-9.0368794809616241E-3</v>
      </c>
      <c r="Z11" s="39" t="str">
        <f t="shared" si="37"/>
        <v>0.999999567680559+0.00604934114331794i</v>
      </c>
      <c r="AA11" s="38">
        <f t="shared" si="6"/>
        <v>1.0000178647852112</v>
      </c>
      <c r="AB11" s="38">
        <f t="shared" si="7"/>
        <v>6.049269969162825E-3</v>
      </c>
      <c r="AC11" s="42" t="str">
        <f t="shared" si="8"/>
        <v>9.81559468518175-9.80684054595008i</v>
      </c>
      <c r="AD11" s="46">
        <f t="shared" si="9"/>
        <v>22.844758992894402</v>
      </c>
      <c r="AE11" s="45">
        <f t="shared" si="10"/>
        <v>-44.97443868755024</v>
      </c>
      <c r="AF11" s="41" t="str">
        <f t="shared" si="11"/>
        <v>72.2956529813786</v>
      </c>
      <c r="AG11" t="str">
        <f t="shared" si="12"/>
        <v>1+0.815510204081632i</v>
      </c>
      <c r="AH11">
        <f t="shared" si="38"/>
        <v>1.2903708354427672</v>
      </c>
      <c r="AI11">
        <f t="shared" si="39"/>
        <v>0.68412709084098744</v>
      </c>
      <c r="AJ11" t="str">
        <f t="shared" si="13"/>
        <v>1+0.015533527696793i</v>
      </c>
      <c r="AK11">
        <f t="shared" si="40"/>
        <v>1.0001206379645942</v>
      </c>
      <c r="AL11">
        <f t="shared" si="41"/>
        <v>1.5532278513505603E-2</v>
      </c>
      <c r="AM11" t="str">
        <f t="shared" si="14"/>
        <v>1-0.00200003637225834i</v>
      </c>
      <c r="AN11">
        <f t="shared" si="42"/>
        <v>1.000002000070745</v>
      </c>
      <c r="AO11">
        <f t="shared" si="43"/>
        <v>-2.0000337054525822E-3</v>
      </c>
      <c r="AP11" s="41" t="str">
        <f t="shared" si="44"/>
        <v>43.8998840203029-34.8223907841321i</v>
      </c>
      <c r="AQ11">
        <f t="shared" si="45"/>
        <v>34.969018076485732</v>
      </c>
      <c r="AR11" s="43">
        <f t="shared" si="46"/>
        <v>-38.422254440912369</v>
      </c>
      <c r="AS11" s="39" t="str">
        <f t="shared" si="15"/>
        <v>-0.0000166666666666667</v>
      </c>
      <c r="AT11" s="39" t="str">
        <f t="shared" si="16"/>
        <v>0.0000140462750449724i</v>
      </c>
      <c r="AU11" s="39">
        <f t="shared" si="17"/>
        <v>1.4046275044972401E-5</v>
      </c>
      <c r="AV11" s="39">
        <f t="shared" si="18"/>
        <v>1.5707963267948966</v>
      </c>
      <c r="AW11" s="39" t="str">
        <f t="shared" si="19"/>
        <v>1+0.0140341242880131i</v>
      </c>
      <c r="AX11" s="39">
        <f t="shared" si="20"/>
        <v>1.0000984734737532</v>
      </c>
      <c r="AY11" s="39">
        <f t="shared" si="21"/>
        <v>1.4033203025537008E-2</v>
      </c>
      <c r="AZ11" s="39" t="str">
        <f t="shared" si="22"/>
        <v>1+0.477160225792444i</v>
      </c>
      <c r="BA11" s="39">
        <f t="shared" si="23"/>
        <v>1.108008069049272</v>
      </c>
      <c r="BB11" s="39">
        <f t="shared" si="24"/>
        <v>0.44520941057231889</v>
      </c>
      <c r="BC11" s="44" t="str">
        <f t="shared" si="25"/>
        <v>-0.549416010319443+1.19426477383473i</v>
      </c>
      <c r="BD11" s="39">
        <f t="shared" si="26"/>
        <v>2.3757548029483844</v>
      </c>
      <c r="BE11" s="45">
        <f t="shared" si="27"/>
        <v>114.70457691888748</v>
      </c>
      <c r="BF11" s="44" t="str">
        <f t="shared" si="28"/>
        <v>6.31911933579705+17.1104541733468i</v>
      </c>
      <c r="BG11" s="46">
        <f t="shared" si="29"/>
        <v>25.220513795842784</v>
      </c>
      <c r="BH11" s="45">
        <f t="shared" si="30"/>
        <v>69.730138231337236</v>
      </c>
      <c r="BI11" s="61" t="str">
        <f t="shared" si="47"/>
        <v>17.467855522275+71.5600640752803i</v>
      </c>
      <c r="BJ11" s="46">
        <f t="shared" si="31"/>
        <v>37.344772879434117</v>
      </c>
      <c r="BK11" s="45">
        <f t="shared" si="32"/>
        <v>76.282322477975143</v>
      </c>
      <c r="BL11" s="41">
        <f t="shared" si="48"/>
        <v>25.220513795842784</v>
      </c>
      <c r="BM11" s="43">
        <f t="shared" si="49"/>
        <v>69.730138231337236</v>
      </c>
    </row>
    <row r="12" spans="1:65" ht="15.75" thickBot="1" x14ac:dyDescent="0.3">
      <c r="A12" t="s">
        <v>27</v>
      </c>
      <c r="B12" s="3">
        <f>VIN_max</f>
        <v>18</v>
      </c>
      <c r="C12" t="s">
        <v>10</v>
      </c>
      <c r="E12" t="s">
        <v>30</v>
      </c>
      <c r="N12" s="179" t="s">
        <v>226</v>
      </c>
      <c r="O12" s="58">
        <f>wz_ea/(2*PI())</f>
        <v>1377.9648752545049</v>
      </c>
      <c r="P12" s="53" t="str">
        <f t="shared" si="33"/>
        <v>19.6196196196196</v>
      </c>
      <c r="Q12" s="54" t="str">
        <f t="shared" si="34"/>
        <v>1+2.0957320957321i</v>
      </c>
      <c r="R12" s="54">
        <f t="shared" si="0"/>
        <v>2.3220880726367077</v>
      </c>
      <c r="S12" s="54">
        <f t="shared" si="1"/>
        <v>1.125586916222578</v>
      </c>
      <c r="T12" s="54" t="str">
        <f t="shared" si="35"/>
        <v>1+0.0325541125541125i</v>
      </c>
      <c r="U12" s="54">
        <f t="shared" si="2"/>
        <v>1.0005297448073125</v>
      </c>
      <c r="V12" s="54">
        <f t="shared" si="3"/>
        <v>3.2542619901034041E-2</v>
      </c>
      <c r="W12" s="55" t="str">
        <f t="shared" si="36"/>
        <v>1-0.018939393939394i</v>
      </c>
      <c r="X12" s="54">
        <f t="shared" si="4"/>
        <v>1.0001793342410108</v>
      </c>
      <c r="Y12" s="54">
        <f t="shared" si="5"/>
        <v>-1.89371299023809E-2</v>
      </c>
      <c r="Z12" s="55" t="str">
        <f t="shared" si="37"/>
        <v>0.999998101212803+0.0126777983920841i</v>
      </c>
      <c r="AA12" s="54">
        <f t="shared" si="6"/>
        <v>1.0000784614225433</v>
      </c>
      <c r="AB12" s="54">
        <f t="shared" si="7"/>
        <v>1.2677143306503961E-2</v>
      </c>
      <c r="AC12" s="56" t="str">
        <f t="shared" si="8"/>
        <v>3.64796745909057-7.62693719506708i</v>
      </c>
      <c r="AD12" s="57">
        <f t="shared" si="9"/>
        <v>18.54171405194408</v>
      </c>
      <c r="AE12" s="58">
        <f t="shared" si="10"/>
        <v>-64.438189427313986</v>
      </c>
      <c r="AF12" s="41" t="str">
        <f t="shared" si="11"/>
        <v>72.2956529813786</v>
      </c>
      <c r="AG12" t="str">
        <f t="shared" si="12"/>
        <v>1+1.70909090909091i</v>
      </c>
      <c r="AH12">
        <f t="shared" si="38"/>
        <v>1.9801494225278036</v>
      </c>
      <c r="AI12">
        <f t="shared" si="39"/>
        <v>1.0414000020730347</v>
      </c>
      <c r="AJ12" t="str">
        <f t="shared" si="13"/>
        <v>1+0.0325541125541125i</v>
      </c>
      <c r="AK12">
        <f t="shared" si="40"/>
        <v>1.0005297448073125</v>
      </c>
      <c r="AL12">
        <f t="shared" si="41"/>
        <v>3.2542619901034041E-2</v>
      </c>
      <c r="AM12" t="str">
        <f t="shared" si="14"/>
        <v>1-0.00419154041797339i</v>
      </c>
      <c r="AN12">
        <f t="shared" si="42"/>
        <v>1.0000087844669543</v>
      </c>
      <c r="AO12">
        <f t="shared" si="43"/>
        <v>-4.1915158711588055E-3</v>
      </c>
      <c r="AP12" s="41" t="str">
        <f t="shared" si="44"/>
        <v>19.3343924038477-30.9937436173988i</v>
      </c>
      <c r="AQ12">
        <f t="shared" si="45"/>
        <v>31.252960811345311</v>
      </c>
      <c r="AR12" s="43">
        <f t="shared" si="46"/>
        <v>-58.043426298251859</v>
      </c>
      <c r="AS12" s="55" t="str">
        <f t="shared" si="15"/>
        <v>-0.0000166666666666667</v>
      </c>
      <c r="AT12" s="55" t="str">
        <f t="shared" si="16"/>
        <v>0.0000294372294372294i</v>
      </c>
      <c r="AU12" s="55">
        <f t="shared" si="17"/>
        <v>2.9437229437229401E-5</v>
      </c>
      <c r="AV12" s="55">
        <f t="shared" si="18"/>
        <v>1.5707963267948966</v>
      </c>
      <c r="AW12" s="55" t="str">
        <f t="shared" si="19"/>
        <v>1+0.0294117647058824i</v>
      </c>
      <c r="AX12" s="55">
        <f t="shared" si="20"/>
        <v>1.0004324324526441</v>
      </c>
      <c r="AY12" s="55">
        <f t="shared" si="21"/>
        <v>2.9403288204005163E-2</v>
      </c>
      <c r="AZ12" s="55" t="str">
        <f t="shared" si="22"/>
        <v>1+i</v>
      </c>
      <c r="BA12" s="55">
        <f t="shared" si="23"/>
        <v>1.4142135623730951</v>
      </c>
      <c r="BB12" s="55">
        <f t="shared" si="24"/>
        <v>0.78539816339744828</v>
      </c>
      <c r="BC12" s="52" t="str">
        <f t="shared" si="25"/>
        <v>-0.549049265341401+0.582324978392396i</v>
      </c>
      <c r="BD12" s="55">
        <f t="shared" si="26"/>
        <v>-1.9344189559872733</v>
      </c>
      <c r="BE12" s="58">
        <f t="shared" si="27"/>
        <v>133.31531568210366</v>
      </c>
      <c r="BF12" s="52" t="str">
        <f t="shared" si="28"/>
        <v>2.43844218391458+6.31186683554767i</v>
      </c>
      <c r="BG12" s="57">
        <f t="shared" si="29"/>
        <v>16.607295095956811</v>
      </c>
      <c r="BH12" s="58">
        <f t="shared" si="30"/>
        <v>68.877126254789715</v>
      </c>
      <c r="BI12" s="61" t="str">
        <f t="shared" si="47"/>
        <v>7.43289713714627+28.2759918021133i</v>
      </c>
      <c r="BJ12" s="57">
        <f t="shared" si="31"/>
        <v>29.318541855358049</v>
      </c>
      <c r="BK12" s="58">
        <f t="shared" si="32"/>
        <v>75.271889383851814</v>
      </c>
      <c r="BL12" s="41">
        <f t="shared" si="48"/>
        <v>16.607295095956811</v>
      </c>
      <c r="BM12" s="43">
        <f t="shared" si="49"/>
        <v>68.877126254789715</v>
      </c>
    </row>
    <row r="13" spans="1:65" ht="15.75" thickBot="1" x14ac:dyDescent="0.3">
      <c r="A13" t="s">
        <v>64</v>
      </c>
      <c r="B13" s="3">
        <f>Fsw</f>
        <v>2000000</v>
      </c>
      <c r="C13" t="s">
        <v>65</v>
      </c>
      <c r="E13" t="s">
        <v>66</v>
      </c>
      <c r="N13" s="180" t="s">
        <v>232</v>
      </c>
      <c r="O13" s="45">
        <f>wp1_ea/(2*PI())</f>
        <v>46850.80575865318</v>
      </c>
      <c r="P13" s="59" t="str">
        <f t="shared" si="33"/>
        <v>19.6196196196196</v>
      </c>
      <c r="Q13" s="38" t="str">
        <f t="shared" si="34"/>
        <v>1+71.2548912548912i</v>
      </c>
      <c r="R13" s="38">
        <f t="shared" si="0"/>
        <v>71.26190797155499</v>
      </c>
      <c r="S13" s="38">
        <f t="shared" si="1"/>
        <v>1.5567631237693595</v>
      </c>
      <c r="T13" s="38" t="str">
        <f t="shared" si="35"/>
        <v>1+1.10683982683982i</v>
      </c>
      <c r="U13" s="38">
        <f t="shared" si="2"/>
        <v>1.4916750323977412</v>
      </c>
      <c r="V13" s="38">
        <f t="shared" si="3"/>
        <v>0.83606570036559336</v>
      </c>
      <c r="W13" s="39" t="str">
        <f t="shared" si="36"/>
        <v>1-0.643939393939393i</v>
      </c>
      <c r="X13" s="38">
        <f t="shared" si="4"/>
        <v>1.1893939393939388</v>
      </c>
      <c r="Y13" s="38">
        <f t="shared" si="5"/>
        <v>-0.57210288343463578</v>
      </c>
      <c r="Z13" s="39" t="str">
        <f t="shared" si="37"/>
        <v>0.997805001999765+0.431045145330859i</v>
      </c>
      <c r="AA13" s="38">
        <f t="shared" si="6"/>
        <v>1.0869290406135317</v>
      </c>
      <c r="AB13" s="38">
        <f t="shared" si="7"/>
        <v>0.40777915131183146</v>
      </c>
      <c r="AC13" s="42" t="str">
        <f t="shared" si="8"/>
        <v>-0.0581607857025977-0.445619326412082i</v>
      </c>
      <c r="AD13" s="46">
        <f t="shared" si="9"/>
        <v>-6.9473622698309931</v>
      </c>
      <c r="AE13" s="45">
        <f t="shared" si="10"/>
        <v>-97.436025678652825</v>
      </c>
      <c r="AF13" s="44" t="str">
        <f t="shared" si="11"/>
        <v>72.2956529813786</v>
      </c>
      <c r="AG13" s="39" t="str">
        <f t="shared" si="12"/>
        <v>1+58.1090909090908i</v>
      </c>
      <c r="AH13" s="39">
        <f t="shared" si="38"/>
        <v>58.117694777760924</v>
      </c>
      <c r="AI13" s="39">
        <f t="shared" si="39"/>
        <v>1.5535890140456401</v>
      </c>
      <c r="AJ13" s="39" t="str">
        <f t="shared" si="13"/>
        <v>1+1.10683982683982i</v>
      </c>
      <c r="AK13" s="39">
        <f t="shared" si="40"/>
        <v>1.4916750323977412</v>
      </c>
      <c r="AL13" s="39">
        <f t="shared" si="41"/>
        <v>0.83606570036559336</v>
      </c>
      <c r="AM13" s="39" t="str">
        <f t="shared" si="14"/>
        <v>1-0.142512374211095i</v>
      </c>
      <c r="AN13" s="39">
        <f t="shared" si="42"/>
        <v>1.0101038445641533</v>
      </c>
      <c r="AO13" s="39">
        <f t="shared" si="43"/>
        <v>-0.14155916503477317</v>
      </c>
      <c r="AP13" s="44" t="str">
        <f t="shared" si="44"/>
        <v>1.22418023816737-1.41931787311683i</v>
      </c>
      <c r="AQ13" s="39">
        <f t="shared" si="45"/>
        <v>5.4568809907268818</v>
      </c>
      <c r="AR13" s="45">
        <f t="shared" si="46"/>
        <v>-49.221800283996458</v>
      </c>
      <c r="AS13" s="39" t="str">
        <f t="shared" si="15"/>
        <v>-0.0000166666666666667</v>
      </c>
      <c r="AT13" s="39" t="str">
        <f t="shared" si="16"/>
        <v>0.0010008658008658i</v>
      </c>
      <c r="AU13" s="39">
        <f t="shared" si="17"/>
        <v>1.0008658008658E-3</v>
      </c>
      <c r="AV13" s="39">
        <f t="shared" si="18"/>
        <v>1.5707963267948966</v>
      </c>
      <c r="AW13" s="39" t="str">
        <f t="shared" si="19"/>
        <v>1+i</v>
      </c>
      <c r="AX13" s="39">
        <f t="shared" si="20"/>
        <v>1.4142135623730951</v>
      </c>
      <c r="AY13" s="39">
        <f t="shared" si="21"/>
        <v>0.78539816339744828</v>
      </c>
      <c r="AZ13" s="39" t="str">
        <f t="shared" si="22"/>
        <v>1+33.9999999999999i</v>
      </c>
      <c r="BA13" s="39">
        <f t="shared" si="23"/>
        <v>34.014702703389801</v>
      </c>
      <c r="BB13" s="39">
        <f t="shared" si="24"/>
        <v>1.5413930385908914</v>
      </c>
      <c r="BC13" s="44" t="str">
        <f t="shared" si="25"/>
        <v>-0.274762110726644+0.291414359861592i</v>
      </c>
      <c r="BD13" s="39">
        <f t="shared" si="26"/>
        <v>-7.9475083719221216</v>
      </c>
      <c r="BE13" s="45">
        <f t="shared" si="27"/>
        <v>133.31531568210372</v>
      </c>
      <c r="BF13" s="44" t="str">
        <f t="shared" si="28"/>
        <v>0.145840250989496+0.105490418570999i</v>
      </c>
      <c r="BG13" s="46">
        <f t="shared" si="29"/>
        <v>-14.894870641753137</v>
      </c>
      <c r="BH13" s="45">
        <f t="shared" si="30"/>
        <v>35.879290003450912</v>
      </c>
      <c r="BI13" s="61" t="str">
        <f t="shared" si="47"/>
        <v>0.0772512632857449+0.746718475070387i</v>
      </c>
      <c r="BJ13" s="46">
        <f t="shared" si="31"/>
        <v>-2.4906273811952357</v>
      </c>
      <c r="BK13" s="45">
        <f t="shared" si="32"/>
        <v>84.093515398107272</v>
      </c>
      <c r="BL13" s="44">
        <f t="shared" si="48"/>
        <v>-14.894870641753137</v>
      </c>
      <c r="BM13" s="45">
        <f t="shared" si="49"/>
        <v>35.879290003450912</v>
      </c>
    </row>
    <row r="15" spans="1:65" ht="15.75" thickBot="1" x14ac:dyDescent="0.3">
      <c r="A15" s="49" t="s">
        <v>456</v>
      </c>
      <c r="O15" s="34" t="s">
        <v>196</v>
      </c>
      <c r="P15">
        <f>B16</f>
        <v>12</v>
      </c>
      <c r="Q15" t="s">
        <v>10</v>
      </c>
    </row>
    <row r="16" spans="1:65" ht="15.75" thickBot="1" x14ac:dyDescent="0.3">
      <c r="A16" t="s">
        <v>198</v>
      </c>
      <c r="B16">
        <f>VIN_var</f>
        <v>12</v>
      </c>
      <c r="C16" t="s">
        <v>10</v>
      </c>
      <c r="E16" t="s">
        <v>199</v>
      </c>
      <c r="O16" s="48"/>
      <c r="P16" s="224" t="s">
        <v>454</v>
      </c>
      <c r="Q16" s="224"/>
      <c r="R16" s="224"/>
      <c r="S16" s="224"/>
      <c r="T16" s="224"/>
      <c r="U16" s="224"/>
      <c r="V16" s="224"/>
      <c r="W16" s="224"/>
      <c r="X16" s="224"/>
      <c r="Y16" s="224"/>
      <c r="Z16" s="224"/>
      <c r="AA16" s="224"/>
      <c r="AB16" s="224"/>
      <c r="AC16" s="224"/>
      <c r="AD16" s="224"/>
      <c r="AE16" s="225"/>
      <c r="AF16" s="223" t="s">
        <v>455</v>
      </c>
      <c r="AG16" s="224"/>
      <c r="AH16" s="224"/>
      <c r="AI16" s="224"/>
      <c r="AJ16" s="224"/>
      <c r="AK16" s="224"/>
      <c r="AL16" s="224"/>
      <c r="AM16" s="224"/>
      <c r="AN16" s="224"/>
      <c r="AO16" s="224"/>
      <c r="AP16" s="224"/>
      <c r="AQ16" s="224"/>
      <c r="AR16" s="225"/>
      <c r="AS16" s="223" t="s">
        <v>225</v>
      </c>
      <c r="AT16" s="224"/>
      <c r="AU16" s="224"/>
      <c r="AV16" s="224"/>
      <c r="AW16" s="224"/>
      <c r="AX16" s="224"/>
      <c r="AY16" s="224"/>
      <c r="AZ16" s="224"/>
      <c r="BA16" s="224"/>
      <c r="BB16" s="224"/>
      <c r="BC16" s="224"/>
      <c r="BD16" s="224"/>
      <c r="BE16" s="225"/>
      <c r="BF16" s="223" t="s">
        <v>484</v>
      </c>
      <c r="BG16" s="224"/>
      <c r="BH16" s="225"/>
      <c r="BI16" s="223" t="s">
        <v>485</v>
      </c>
      <c r="BJ16" s="224"/>
      <c r="BK16" s="225"/>
      <c r="BL16" s="223" t="s">
        <v>486</v>
      </c>
      <c r="BM16" s="225"/>
    </row>
    <row r="17" spans="1:65" x14ac:dyDescent="0.25">
      <c r="A17" t="s">
        <v>382</v>
      </c>
      <c r="B17">
        <f>IOUT</f>
        <v>15</v>
      </c>
      <c r="C17" t="s">
        <v>11</v>
      </c>
      <c r="E17" t="s">
        <v>477</v>
      </c>
      <c r="O17" s="36"/>
      <c r="Q17" s="229" t="s">
        <v>217</v>
      </c>
      <c r="R17" s="229"/>
      <c r="S17" s="229"/>
      <c r="T17" s="227" t="s">
        <v>219</v>
      </c>
      <c r="U17" s="227"/>
      <c r="V17" s="227"/>
      <c r="W17" s="227" t="s">
        <v>258</v>
      </c>
      <c r="X17" s="227"/>
      <c r="Y17" s="227"/>
      <c r="Z17" s="227" t="s">
        <v>222</v>
      </c>
      <c r="AA17" s="227"/>
      <c r="AB17" s="227"/>
      <c r="AC17" s="226" t="s">
        <v>224</v>
      </c>
      <c r="AD17" s="227"/>
      <c r="AE17" s="228"/>
      <c r="AF17" s="153"/>
      <c r="AG17" s="229" t="s">
        <v>217</v>
      </c>
      <c r="AH17" s="229"/>
      <c r="AI17" s="229"/>
      <c r="AJ17" s="230" t="s">
        <v>219</v>
      </c>
      <c r="AK17" s="230"/>
      <c r="AL17" s="230"/>
      <c r="AM17" s="227" t="s">
        <v>258</v>
      </c>
      <c r="AN17" s="227"/>
      <c r="AO17" s="227"/>
      <c r="AP17" s="231" t="s">
        <v>224</v>
      </c>
      <c r="AQ17" s="230"/>
      <c r="AR17" s="232"/>
      <c r="AT17" s="227" t="s">
        <v>231</v>
      </c>
      <c r="AU17" s="227"/>
      <c r="AV17" s="227"/>
      <c r="AW17" s="227" t="s">
        <v>232</v>
      </c>
      <c r="AX17" s="227"/>
      <c r="AY17" s="227"/>
      <c r="AZ17" s="227" t="s">
        <v>226</v>
      </c>
      <c r="BA17" s="227"/>
      <c r="BB17" s="227"/>
      <c r="BC17" s="226" t="s">
        <v>224</v>
      </c>
      <c r="BD17" s="227"/>
      <c r="BE17" s="228"/>
      <c r="BF17" s="226" t="s">
        <v>224</v>
      </c>
      <c r="BG17" s="227"/>
      <c r="BH17" s="228"/>
      <c r="BI17" s="226" t="s">
        <v>224</v>
      </c>
      <c r="BJ17" s="227"/>
      <c r="BK17" s="228"/>
      <c r="BM17" s="43"/>
    </row>
    <row r="18" spans="1:65" ht="15.75" thickBot="1" x14ac:dyDescent="0.3">
      <c r="N18" s="9"/>
      <c r="O18" s="37" t="s">
        <v>195</v>
      </c>
      <c r="P18" s="38" t="s">
        <v>200</v>
      </c>
      <c r="Q18" s="39" t="s">
        <v>223</v>
      </c>
      <c r="R18" s="38" t="s">
        <v>220</v>
      </c>
      <c r="S18" s="38" t="s">
        <v>221</v>
      </c>
      <c r="T18" s="38" t="s">
        <v>223</v>
      </c>
      <c r="U18" s="38" t="s">
        <v>220</v>
      </c>
      <c r="V18" s="38" t="s">
        <v>221</v>
      </c>
      <c r="W18" s="38" t="s">
        <v>223</v>
      </c>
      <c r="X18" s="38" t="s">
        <v>220</v>
      </c>
      <c r="Y18" s="38" t="s">
        <v>221</v>
      </c>
      <c r="Z18" s="38" t="s">
        <v>223</v>
      </c>
      <c r="AA18" s="38" t="s">
        <v>220</v>
      </c>
      <c r="AB18" s="38" t="s">
        <v>221</v>
      </c>
      <c r="AC18" s="42" t="s">
        <v>235</v>
      </c>
      <c r="AD18" s="38" t="s">
        <v>220</v>
      </c>
      <c r="AE18" s="40" t="s">
        <v>221</v>
      </c>
      <c r="AF18" s="156" t="s">
        <v>200</v>
      </c>
      <c r="AG18" s="156" t="s">
        <v>223</v>
      </c>
      <c r="AH18" s="156" t="s">
        <v>234</v>
      </c>
      <c r="AI18" s="156" t="s">
        <v>221</v>
      </c>
      <c r="AJ18" s="156" t="s">
        <v>223</v>
      </c>
      <c r="AK18" s="156" t="s">
        <v>234</v>
      </c>
      <c r="AL18" s="156" t="s">
        <v>221</v>
      </c>
      <c r="AM18" s="156" t="s">
        <v>223</v>
      </c>
      <c r="AN18" s="156" t="s">
        <v>234</v>
      </c>
      <c r="AO18" s="156" t="s">
        <v>221</v>
      </c>
      <c r="AP18" s="42" t="s">
        <v>235</v>
      </c>
      <c r="AQ18" s="38" t="s">
        <v>220</v>
      </c>
      <c r="AR18" s="40" t="s">
        <v>221</v>
      </c>
      <c r="AS18" s="38" t="s">
        <v>233</v>
      </c>
      <c r="AT18" s="38" t="s">
        <v>223</v>
      </c>
      <c r="AU18" s="38" t="s">
        <v>234</v>
      </c>
      <c r="AV18" s="38" t="s">
        <v>221</v>
      </c>
      <c r="AW18" s="38" t="s">
        <v>223</v>
      </c>
      <c r="AX18" s="38" t="s">
        <v>234</v>
      </c>
      <c r="AY18" s="38" t="s">
        <v>221</v>
      </c>
      <c r="AZ18" s="38" t="s">
        <v>223</v>
      </c>
      <c r="BA18" s="38" t="s">
        <v>234</v>
      </c>
      <c r="BB18" s="38" t="s">
        <v>221</v>
      </c>
      <c r="BC18" s="42" t="s">
        <v>235</v>
      </c>
      <c r="BD18" s="38" t="s">
        <v>220</v>
      </c>
      <c r="BE18" s="40" t="s">
        <v>221</v>
      </c>
      <c r="BF18" s="42" t="s">
        <v>235</v>
      </c>
      <c r="BG18" s="38" t="s">
        <v>220</v>
      </c>
      <c r="BH18" s="40" t="s">
        <v>221</v>
      </c>
      <c r="BI18" s="42" t="s">
        <v>235</v>
      </c>
      <c r="BJ18" s="38" t="s">
        <v>220</v>
      </c>
      <c r="BK18" s="40" t="s">
        <v>221</v>
      </c>
      <c r="BL18" s="4" t="s">
        <v>487</v>
      </c>
      <c r="BM18" s="60" t="s">
        <v>488</v>
      </c>
    </row>
    <row r="19" spans="1:65" x14ac:dyDescent="0.25">
      <c r="A19" t="s">
        <v>31</v>
      </c>
      <c r="B19" s="29">
        <f>VOUT</f>
        <v>21</v>
      </c>
      <c r="C19" t="s">
        <v>10</v>
      </c>
      <c r="E19" t="s">
        <v>173</v>
      </c>
      <c r="N19" s="9">
        <v>1</v>
      </c>
      <c r="O19" s="34">
        <f>10^(1+(N19/100))</f>
        <v>10.232929922807543</v>
      </c>
      <c r="P19" s="33" t="str">
        <f t="shared" ref="P19:P82" si="50">COMPLEX(Adc,0)</f>
        <v>19.6196196196196</v>
      </c>
      <c r="Q19" s="4" t="str">
        <f>IMSUM(COMPLEX(1,0),IMDIV(COMPLEX(0,2*PI()*O19),COMPLEX(wp_lf,0)))</f>
        <v>1+0.0155631540815902i</v>
      </c>
      <c r="R19" s="4">
        <f>IMABS(Q19)</f>
        <v>1.0001210985500544</v>
      </c>
      <c r="S19" s="4">
        <f>IMARGUMENT(Q19)</f>
        <v>1.5561897737826371E-2</v>
      </c>
      <c r="T19" s="4" t="str">
        <f t="shared" ref="T19:T82" si="51">IMSUM(COMPLEX(1,0),IMDIV(COMPLEX(0,2*PI()*O19),COMPLEX(wz_esr,0)))</f>
        <v>1+0.000241750684975839i</v>
      </c>
      <c r="U19" s="4">
        <f>IMABS(T19)</f>
        <v>1.0000000292216964</v>
      </c>
      <c r="V19" s="4">
        <f>IMARGUMENT(T19)</f>
        <v>2.4175068026626237E-4</v>
      </c>
      <c r="W19" t="str">
        <f t="shared" ref="W19:W82" si="52">IMSUB(COMPLEX(1,0),IMDIV(COMPLEX(0,2*PI()*O19),COMPLEX(wz_rhp,0)))</f>
        <v>1-0.000140646176432087i</v>
      </c>
      <c r="X19" s="4">
        <f>IMABS(W19)</f>
        <v>1.0000000098906734</v>
      </c>
      <c r="Y19" s="4">
        <f>IMARGUMENT(W19)</f>
        <v>-1.4064617550469673E-4</v>
      </c>
      <c r="Z19" t="str">
        <f t="shared" ref="Z19:Z82" si="53">IMSUM(COMPLEX(1,0),IMDIV(COMPLEX(0,2*PI()*O19),COMPLEX(Q*(wsl/2),0)),IMDIV(IMPOWER(COMPLEX(0,2*PI()*O19),2),IMPOWER(COMPLEX(wsl/2,0),2)))</f>
        <v>0.999999999895287+0.0000941468283055603i</v>
      </c>
      <c r="AA19" s="4">
        <f>IMABS(Z19)</f>
        <v>1.0000000043270996</v>
      </c>
      <c r="AB19" s="4">
        <f>IMARGUMENT(Z19)</f>
        <v>9.4146828037257958E-5</v>
      </c>
      <c r="AC19" s="47" t="str">
        <f>(IMDIV(IMPRODUCT(P19,T19,W19),IMPRODUCT(Q19,Z19)))</f>
        <v>19.6148714734584-0.305132760056507i</v>
      </c>
      <c r="AD19" s="20">
        <f>20*LOG(IMABS(AC19))</f>
        <v>25.852760179793318</v>
      </c>
      <c r="AE19" s="43">
        <f>(180/PI())*IMARGUMENT(AC19)</f>
        <v>-0.89123241608011583</v>
      </c>
      <c r="AF19" t="str">
        <f t="shared" ref="AF19:AF82" si="54">COMPLEX($B$72,0)</f>
        <v>72.2956529813786</v>
      </c>
      <c r="AG19" t="str">
        <f t="shared" ref="AG19:AG82" si="55">IMSUM(COMPLEX(1,0),IMDIV(COMPLEX(0,2*PI()*O19),COMPLEX(wp_lf_DCM,0)))</f>
        <v>1+0.0126919109612315i</v>
      </c>
      <c r="AH19">
        <f>IMABS(AG19)</f>
        <v>1.000080539058654</v>
      </c>
      <c r="AI19">
        <f>IMARGUMENT(AG19)</f>
        <v>1.269122953660741E-2</v>
      </c>
      <c r="AJ19" t="str">
        <f t="shared" ref="AJ19:AJ82" si="56">IMSUM(COMPLEX(1,0),IMDIV(COMPLEX(0,2*PI()*O19),COMPLEX(wz1_dcm,0)))</f>
        <v>1+0.000241750684975839i</v>
      </c>
      <c r="AK19">
        <f>IMABS(AJ19)</f>
        <v>1.0000000292216964</v>
      </c>
      <c r="AL19">
        <f>IMARGUMENT(AJ19)</f>
        <v>2.4175068026626237E-4</v>
      </c>
      <c r="AM19" t="str">
        <f t="shared" ref="AM19:AM82" si="57">IMSUB(COMPLEX(1,0),IMDIV(COMPLEX(0,2*PI()*O19),COMPLEX(wz2_dcm,0)))</f>
        <v>1-0.0000311268742302413i</v>
      </c>
      <c r="AN19">
        <f>IMABS(AM19)</f>
        <v>1.0000000004844412</v>
      </c>
      <c r="AO19">
        <f>IMARGUMENT(AM19)</f>
        <v>-3.1126874220188543E-5</v>
      </c>
      <c r="AP19" s="41" t="str">
        <f>(IMDIV(IMPRODUCT(AF19,AJ19,AM19),IMPRODUCT(AG19)))</f>
        <v>72.2842029152963-0.902197481373251i</v>
      </c>
      <c r="AQ19">
        <f>20*LOG(IMABS(AP19))</f>
        <v>37.181544426162219</v>
      </c>
      <c r="AR19" s="43">
        <f>(180/PI())*IMARGUMENT(AP19)</f>
        <v>-0.71508603412795335</v>
      </c>
      <c r="AS19" t="str">
        <f t="shared" ref="AS19:AS82" si="58">COMPLEX(Adc_ea,0)</f>
        <v>-0.0000166666666666667</v>
      </c>
      <c r="AT19" t="str">
        <f t="shared" ref="AT19:AT82" si="59">COMPLEX(0,2*PI()*O19*wp0_ea)</f>
        <v>2.18604342797301E-07i</v>
      </c>
      <c r="AU19">
        <f>IMABS(AT19)</f>
        <v>2.1860434279730101E-7</v>
      </c>
      <c r="AV19">
        <f>IMARGUMENT(AT19)</f>
        <v>1.5707963267948966</v>
      </c>
      <c r="AW19" t="str">
        <f t="shared" ref="AW19:AW82" si="60">IMSUM(COMPLEX(1,0),IMDIV(COMPLEX(0,2*PI()*O19),COMPLEX(wp1_ea,0)))</f>
        <v>1+0.000218415238694536i</v>
      </c>
      <c r="AX19">
        <f>IMABS(AW19)</f>
        <v>1.0000000238526079</v>
      </c>
      <c r="AY19">
        <f>IMARGUMENT(AW19)</f>
        <v>2.1841523522135402E-4</v>
      </c>
      <c r="AZ19" t="str">
        <f t="shared" ref="AZ19:AZ82" si="61">IMSUM(COMPLEX(1,0),IMDIV(COMPLEX(0,2*PI()*O19),COMPLEX(wz_ea,0)))</f>
        <v>1+0.0074261181156142i</v>
      </c>
      <c r="BA19">
        <f>IMABS(AZ19)</f>
        <v>1.0000275732349919</v>
      </c>
      <c r="BB19">
        <f>IMARGUMENT(AZ19)</f>
        <v>7.4259816101823386E-3</v>
      </c>
      <c r="BC19" s="41" t="str">
        <f>IMPRODUCT(AS19,IMDIV(AZ19,IMPRODUCT(AT19,AW19)))</f>
        <v>-0.549524195238118+76.2413623227448i</v>
      </c>
      <c r="BD19">
        <f>20*LOG(IMABS(BC19))</f>
        <v>37.64403857191293</v>
      </c>
      <c r="BE19" s="43">
        <f>(180/PI())*IMARGUMENT(BC19)</f>
        <v>90.412963133845665</v>
      </c>
      <c r="BF19" s="41" t="str">
        <f>IMPRODUCT(AC19,BC19)</f>
        <v>12.484890854856+1495.63220075642i</v>
      </c>
      <c r="BG19" s="20">
        <f>20*LOG(IMABS(BF19))</f>
        <v>63.496798751706223</v>
      </c>
      <c r="BH19" s="43">
        <f>(180/PI())*IMARGUMENT(BF19)</f>
        <v>89.521730717765564</v>
      </c>
      <c r="BI19" s="41" t="str">
        <f>IMPRODUCT(AP19,BC19)</f>
        <v>29.0628466285888+5511.54188402081i</v>
      </c>
      <c r="BJ19" s="20">
        <f>20*LOG(IMABS(BI19))</f>
        <v>74.825582998075163</v>
      </c>
      <c r="BK19" s="43">
        <f>(180/PI())*IMARGUMENT(BI19)</f>
        <v>89.697877099717729</v>
      </c>
      <c r="BL19">
        <f>IF($B$31=0,BJ19,BG19)</f>
        <v>63.496798751706223</v>
      </c>
      <c r="BM19" s="43">
        <f>IF($B$31=0,BK19,BH19)</f>
        <v>89.521730717765564</v>
      </c>
    </row>
    <row r="20" spans="1:65" x14ac:dyDescent="0.25">
      <c r="A20" t="s">
        <v>33</v>
      </c>
      <c r="B20" s="29">
        <f>IOUT</f>
        <v>15</v>
      </c>
      <c r="C20" t="s">
        <v>11</v>
      </c>
      <c r="E20" t="s">
        <v>34</v>
      </c>
      <c r="N20" s="9">
        <v>2</v>
      </c>
      <c r="O20" s="34">
        <f t="shared" ref="O20:O83" si="62">10^(1+(N20/100))</f>
        <v>10.471285480509</v>
      </c>
      <c r="P20" s="33" t="str">
        <f t="shared" si="50"/>
        <v>19.6196196196196</v>
      </c>
      <c r="Q20" s="4" t="str">
        <f t="shared" ref="Q20:Q82" si="63">IMSUM(COMPLEX(1,0),IMDIV(COMPLEX(0,2*PI()*O20),COMPLEX(wp_lf,0)))</f>
        <v>1+0.0159256665094769i</v>
      </c>
      <c r="R20" s="4">
        <f t="shared" ref="R20:R83" si="64">IMABS(Q20)</f>
        <v>1.0001268053870824</v>
      </c>
      <c r="S20" s="4">
        <f t="shared" ref="S20:S83" si="65">IMARGUMENT(Q20)</f>
        <v>1.5924320322098187E-2</v>
      </c>
      <c r="T20" s="4" t="str">
        <f t="shared" si="51"/>
        <v>1+0.000247381781814848i</v>
      </c>
      <c r="U20" s="4">
        <f t="shared" ref="U20:U83" si="66">IMABS(T20)</f>
        <v>1.0000000305988725</v>
      </c>
      <c r="V20" s="4">
        <f t="shared" ref="V20:V83" si="67">IMARGUMENT(T20)</f>
        <v>2.473817767684457E-4</v>
      </c>
      <c r="W20" t="str">
        <f t="shared" si="52"/>
        <v>1-0.000143922246734037i</v>
      </c>
      <c r="X20" s="4">
        <f t="shared" ref="X20:X83" si="68">IMABS(W20)</f>
        <v>1.0000000103568065</v>
      </c>
      <c r="Y20" s="4">
        <f t="shared" ref="Y20:Y83" si="69">IMARGUMENT(W20)</f>
        <v>-1.4392224574032045E-4</v>
      </c>
      <c r="Z20" t="str">
        <f t="shared" si="53"/>
        <v>0.999999999890352+0.0000963397896505393i</v>
      </c>
      <c r="AA20" s="4">
        <f t="shared" ref="AA20:AA83" si="70">IMABS(Z20)</f>
        <v>1.0000000045310293</v>
      </c>
      <c r="AB20" s="4">
        <f t="shared" ref="AB20:AB83" si="71">IMARGUMENT(Z20)</f>
        <v>9.6339789363048179E-5</v>
      </c>
      <c r="AC20" s="47" t="str">
        <f t="shared" ref="AC20:AC83" si="72">(IMDIV(IMPRODUCT(P20,T20,W20),IMPRODUCT(Q20,Z20)))</f>
        <v>19.6146477569644-0.312236652249927i</v>
      </c>
      <c r="AD20" s="20">
        <f t="shared" ref="AD20:AD83" si="73">20*LOG(IMABS(AC20))</f>
        <v>25.852710631219601</v>
      </c>
      <c r="AE20" s="43">
        <f t="shared" ref="AE20:AE83" si="74">(180/PI())*IMARGUMENT(AC20)</f>
        <v>-0.91198841492199734</v>
      </c>
      <c r="AF20" t="str">
        <f t="shared" si="54"/>
        <v>72.2956529813786</v>
      </c>
      <c r="AG20" t="str">
        <f t="shared" si="55"/>
        <v>1+0.0129875435452795i</v>
      </c>
      <c r="AH20">
        <f t="shared" ref="AH20:AH83" si="75">IMABS(AG20)</f>
        <v>1.000084334587509</v>
      </c>
      <c r="AI20">
        <f t="shared" ref="AI20:AI83" si="76">IMARGUMENT(AG20)</f>
        <v>1.2986813388965145E-2</v>
      </c>
      <c r="AJ20" t="str">
        <f t="shared" si="56"/>
        <v>1+0.000247381781814848i</v>
      </c>
      <c r="AK20">
        <f t="shared" ref="AK20:AK83" si="77">IMABS(AJ20)</f>
        <v>1.0000000305988725</v>
      </c>
      <c r="AL20">
        <f t="shared" ref="AL20:AL83" si="78">IMARGUMENT(AJ20)</f>
        <v>2.473817767684457E-4</v>
      </c>
      <c r="AM20" t="str">
        <f t="shared" si="57"/>
        <v>1-0.0000318519122714104i</v>
      </c>
      <c r="AN20">
        <f t="shared" ref="AN20:AN83" si="79">IMABS(AM20)</f>
        <v>1.000000000507272</v>
      </c>
      <c r="AO20">
        <f t="shared" ref="AO20:AO83" si="80">IMARGUMENT(AM20)</f>
        <v>-3.1851912260638677E-5</v>
      </c>
      <c r="AP20" s="41" t="str">
        <f t="shared" ref="AP20:AP83" si="81">(IMDIV(IMPRODUCT(AF20,AJ20,AM20),IMPRODUCT(AG20)))</f>
        <v>72.2836633813133-0.923205353121498i</v>
      </c>
      <c r="AQ20">
        <f t="shared" ref="AQ20:AQ83" si="82">20*LOG(IMABS(AP20))</f>
        <v>37.181511473495291</v>
      </c>
      <c r="AR20" s="43">
        <f t="shared" ref="AR20:AR83" si="83">(180/PI())*IMARGUMENT(AP20)</f>
        <v>-0.73174064491636881</v>
      </c>
      <c r="AS20" t="str">
        <f t="shared" si="58"/>
        <v>-0.0000166666666666667</v>
      </c>
      <c r="AT20" t="str">
        <f t="shared" si="59"/>
        <v>2.23696292066618E-07i</v>
      </c>
      <c r="AU20">
        <f t="shared" ref="AU20:AU83" si="84">IMABS(AT20)</f>
        <v>2.23696292066618E-7</v>
      </c>
      <c r="AV20">
        <f t="shared" ref="AV20:AV83" si="85">IMARGUMENT(AT20)</f>
        <v>1.5707963267948966</v>
      </c>
      <c r="AW20" t="str">
        <f t="shared" si="60"/>
        <v>1+0.000223502783163447i</v>
      </c>
      <c r="AX20">
        <f t="shared" ref="AX20:AX83" si="86">IMABS(AW20)</f>
        <v>1.0000000249767467</v>
      </c>
      <c r="AY20">
        <f t="shared" ref="AY20:AY83" si="87">IMARGUMENT(AW20)</f>
        <v>2.2350277944186548E-4</v>
      </c>
      <c r="AZ20" t="str">
        <f t="shared" si="61"/>
        <v>1+0.00759909462755717i</v>
      </c>
      <c r="BA20">
        <f t="shared" ref="BA20:BA83" si="88">IMABS(AZ20)</f>
        <v>1.0000288727027629</v>
      </c>
      <c r="BB20">
        <f t="shared" ref="BB20:BB83" si="89">IMARGUMENT(AZ20)</f>
        <v>7.5989483595797413E-3</v>
      </c>
      <c r="BC20" s="41" t="str">
        <f t="shared" ref="BC20:BC83" si="90">IMPRODUCT(AS20,IMDIV(AZ20,IMPRODUCT(AT20,AW20)))</f>
        <v>-0.549524194002634+74.5059025659828i</v>
      </c>
      <c r="BD20">
        <f t="shared" ref="BD20:BD83" si="91">20*LOG(IMABS(BC20))</f>
        <v>37.444049848863877</v>
      </c>
      <c r="BE20" s="43">
        <f t="shared" ref="BE20:BE83" si="92">(180/PI())*IMARGUMENT(BC20)</f>
        <v>90.422581903770308</v>
      </c>
      <c r="BF20" s="41" t="str">
        <f t="shared" ref="BF20:BF83" si="93">IMPRODUCT(AC20,BC20)</f>
        <v>12.4847500907703+1461.57861624113i</v>
      </c>
      <c r="BG20" s="20">
        <f t="shared" ref="BG20:BG83" si="94">20*LOG(IMABS(BF20))</f>
        <v>63.296760480083492</v>
      </c>
      <c r="BH20" s="43">
        <f t="shared" ref="BH20:BH83" si="95">(180/PI())*IMARGUMENT(BF20)</f>
        <v>89.510593488848329</v>
      </c>
      <c r="BI20" s="41" t="str">
        <f t="shared" ref="BI20:BI49" si="96">IMPRODUCT(AP20,BC20)</f>
        <v>29.0626262288902+5386.066904678i</v>
      </c>
      <c r="BJ20" s="20">
        <f t="shared" ref="BJ20:BJ83" si="97">20*LOG(IMABS(BI20))</f>
        <v>74.625561322359161</v>
      </c>
      <c r="BK20" s="43">
        <f t="shared" ref="BK20:BK49" si="98">(180/PI())*IMARGUMENT(BI20)</f>
        <v>89.690841258853951</v>
      </c>
      <c r="BL20">
        <f t="shared" ref="BL20:BL83" si="99">IF($B$31=0,BJ20,BG20)</f>
        <v>63.296760480083492</v>
      </c>
      <c r="BM20" s="43">
        <f t="shared" ref="BM20:BM83" si="100">IF($B$31=0,BK20,BH20)</f>
        <v>89.510593488848329</v>
      </c>
    </row>
    <row r="21" spans="1:65" x14ac:dyDescent="0.25">
      <c r="N21" s="9">
        <v>3</v>
      </c>
      <c r="O21" s="34">
        <f t="shared" si="62"/>
        <v>10.715193052376069</v>
      </c>
      <c r="P21" s="33" t="str">
        <f t="shared" si="50"/>
        <v>19.6196196196196</v>
      </c>
      <c r="Q21" s="4" t="str">
        <f t="shared" si="63"/>
        <v>1+0.016296622936548i</v>
      </c>
      <c r="R21" s="4">
        <f t="shared" si="64"/>
        <v>1.0001327811441518</v>
      </c>
      <c r="S21" s="4">
        <f t="shared" si="65"/>
        <v>1.6295180481126114E-2</v>
      </c>
      <c r="T21" s="4" t="str">
        <f t="shared" si="51"/>
        <v>1+0.00025314404374906i</v>
      </c>
      <c r="U21" s="4">
        <f t="shared" si="66"/>
        <v>1.000000032040953</v>
      </c>
      <c r="V21" s="4">
        <f t="shared" si="67"/>
        <v>2.531440383417425E-4</v>
      </c>
      <c r="W21" t="str">
        <f t="shared" si="52"/>
        <v>1-0.000147274626516242i</v>
      </c>
      <c r="X21" s="4">
        <f t="shared" si="68"/>
        <v>1.0000000108449079</v>
      </c>
      <c r="Y21" s="4">
        <f t="shared" si="69"/>
        <v>-1.4727462545145549E-4</v>
      </c>
      <c r="Z21" t="str">
        <f t="shared" si="53"/>
        <v>0.999999999885185+0.0000985838316271987i</v>
      </c>
      <c r="AA21" s="4">
        <f t="shared" si="70"/>
        <v>1.0000000047445707</v>
      </c>
      <c r="AB21" s="4">
        <f t="shared" si="71"/>
        <v>9.8583831319146362E-5</v>
      </c>
      <c r="AC21" s="47" t="str">
        <f t="shared" si="72"/>
        <v>19.6144135025095-0.31950576062735i</v>
      </c>
      <c r="AD21" s="20">
        <f t="shared" si="73"/>
        <v>25.852658748099728</v>
      </c>
      <c r="AE21" s="43">
        <f t="shared" si="74"/>
        <v>-0.93322763489716287</v>
      </c>
      <c r="AF21" t="str">
        <f t="shared" si="54"/>
        <v>72.2956529813786</v>
      </c>
      <c r="AG21" t="str">
        <f t="shared" si="55"/>
        <v>1+0.0132900622968257i</v>
      </c>
      <c r="AH21">
        <f t="shared" si="75"/>
        <v>1.0000883089786889</v>
      </c>
      <c r="AI21">
        <f t="shared" si="76"/>
        <v>1.3289279923970172E-2</v>
      </c>
      <c r="AJ21" t="str">
        <f t="shared" si="56"/>
        <v>1+0.00025314404374906i</v>
      </c>
      <c r="AK21">
        <f t="shared" si="77"/>
        <v>1.000000032040953</v>
      </c>
      <c r="AL21">
        <f t="shared" si="78"/>
        <v>2.531440383417425E-4</v>
      </c>
      <c r="AM21" t="str">
        <f t="shared" si="57"/>
        <v>1-0.0000325938386180756i</v>
      </c>
      <c r="AN21">
        <f t="shared" si="79"/>
        <v>1.0000000005311791</v>
      </c>
      <c r="AO21">
        <f t="shared" si="80"/>
        <v>-3.259383860653349E-5</v>
      </c>
      <c r="AP21" s="41" t="str">
        <f t="shared" si="81"/>
        <v>72.2830984286557-0.944702060029296i</v>
      </c>
      <c r="AQ21">
        <f t="shared" si="82"/>
        <v>37.181476968085192</v>
      </c>
      <c r="AR21" s="43">
        <f t="shared" si="83"/>
        <v>-0.74878305679583113</v>
      </c>
      <c r="AS21" t="str">
        <f t="shared" si="58"/>
        <v>-0.0000166666666666667</v>
      </c>
      <c r="AT21" t="str">
        <f t="shared" si="59"/>
        <v>2.28906848070959E-07i</v>
      </c>
      <c r="AU21">
        <f t="shared" si="84"/>
        <v>2.28906848070959E-7</v>
      </c>
      <c r="AV21">
        <f t="shared" si="85"/>
        <v>1.5707963267948966</v>
      </c>
      <c r="AW21" t="str">
        <f t="shared" si="60"/>
        <v>1+0.0002287088317664i</v>
      </c>
      <c r="AX21">
        <f t="shared" si="86"/>
        <v>1.0000000261538644</v>
      </c>
      <c r="AY21">
        <f t="shared" si="87"/>
        <v>2.2870882777865353E-4</v>
      </c>
      <c r="AZ21" t="str">
        <f t="shared" si="61"/>
        <v>1+0.00777610028005758i</v>
      </c>
      <c r="BA21">
        <f t="shared" si="88"/>
        <v>1.0000302334107531</v>
      </c>
      <c r="BB21">
        <f t="shared" si="89"/>
        <v>7.7759435513519368E-3</v>
      </c>
      <c r="BC21" s="41" t="str">
        <f t="shared" si="90"/>
        <v>-0.549524192708926+72.8099468249636i</v>
      </c>
      <c r="BD21">
        <f t="shared" si="91"/>
        <v>37.244061657249723</v>
      </c>
      <c r="BE21" s="43">
        <f t="shared" si="92"/>
        <v>90.432424696655332</v>
      </c>
      <c r="BF21" s="41" t="str">
        <f t="shared" si="93"/>
        <v>12.4846026961213+1428.29998026574i</v>
      </c>
      <c r="BG21" s="20">
        <f t="shared" si="94"/>
        <v>63.096720405349451</v>
      </c>
      <c r="BH21" s="43">
        <f t="shared" si="95"/>
        <v>89.499197061758181</v>
      </c>
      <c r="BI21" s="41" t="str">
        <f t="shared" si="96"/>
        <v>29.0623954456598+5263.44768957092i</v>
      </c>
      <c r="BJ21" s="20">
        <f t="shared" si="97"/>
        <v>74.425538625334923</v>
      </c>
      <c r="BK21" s="43">
        <f t="shared" si="98"/>
        <v>89.683641639859502</v>
      </c>
      <c r="BL21">
        <f t="shared" si="99"/>
        <v>63.096720405349451</v>
      </c>
      <c r="BM21" s="43">
        <f t="shared" si="100"/>
        <v>89.499197061758181</v>
      </c>
    </row>
    <row r="22" spans="1:65" x14ac:dyDescent="0.25">
      <c r="A22" t="s">
        <v>174</v>
      </c>
      <c r="N22" s="9">
        <v>4</v>
      </c>
      <c r="O22" s="34">
        <f t="shared" si="62"/>
        <v>10.964781961431854</v>
      </c>
      <c r="P22" s="33" t="str">
        <f t="shared" si="50"/>
        <v>19.6196196196196</v>
      </c>
      <c r="Q22" s="4" t="str">
        <f t="shared" si="63"/>
        <v>1+0.0166762200488114i</v>
      </c>
      <c r="R22" s="4">
        <f t="shared" si="64"/>
        <v>1.000139038491707</v>
      </c>
      <c r="S22" s="4">
        <f t="shared" si="65"/>
        <v>1.6674674441584596E-2</v>
      </c>
      <c r="T22" s="4" t="str">
        <f t="shared" si="51"/>
        <v>1+0.000259040526006026i</v>
      </c>
      <c r="U22" s="4">
        <f t="shared" si="66"/>
        <v>1.0000000335509964</v>
      </c>
      <c r="V22" s="4">
        <f t="shared" si="67"/>
        <v>2.5904052021198095E-4</v>
      </c>
      <c r="W22" t="str">
        <f t="shared" si="52"/>
        <v>1-0.000150705093254836i</v>
      </c>
      <c r="X22" s="4">
        <f t="shared" si="68"/>
        <v>1.0000000113560126</v>
      </c>
      <c r="Y22" s="4">
        <f t="shared" si="69"/>
        <v>-1.5070509211389673E-4</v>
      </c>
      <c r="Z22" t="str">
        <f t="shared" si="53"/>
        <v>0.999999999879774+0.000100880144056298i</v>
      </c>
      <c r="AA22" s="4">
        <f t="shared" si="70"/>
        <v>1.0000000049681756</v>
      </c>
      <c r="AB22" s="4">
        <f t="shared" si="71"/>
        <v>1.0088014372621396E-4</v>
      </c>
      <c r="AC22" s="47" t="str">
        <f t="shared" si="72"/>
        <v>19.6141682139829-0.326943915361409i</v>
      </c>
      <c r="AD22" s="20">
        <f t="shared" si="73"/>
        <v>25.852604420468484</v>
      </c>
      <c r="AE22" s="43">
        <f t="shared" si="74"/>
        <v>-0.95496131392788408</v>
      </c>
      <c r="AF22" t="str">
        <f t="shared" si="54"/>
        <v>72.2956529813786</v>
      </c>
      <c r="AG22" t="str">
        <f t="shared" si="55"/>
        <v>1+0.0135996276153164i</v>
      </c>
      <c r="AH22">
        <f t="shared" si="75"/>
        <v>1.0000924706602261</v>
      </c>
      <c r="AI22">
        <f t="shared" si="76"/>
        <v>1.3598789291884171E-2</v>
      </c>
      <c r="AJ22" t="str">
        <f t="shared" si="56"/>
        <v>1+0.000259040526006026i</v>
      </c>
      <c r="AK22">
        <f t="shared" si="77"/>
        <v>1.0000000335509964</v>
      </c>
      <c r="AL22">
        <f t="shared" si="78"/>
        <v>2.5904052021198095E-4</v>
      </c>
      <c r="AM22" t="str">
        <f t="shared" si="57"/>
        <v>1-0.0000333530466494066i</v>
      </c>
      <c r="AN22">
        <f t="shared" si="79"/>
        <v>1.0000000005562129</v>
      </c>
      <c r="AO22">
        <f t="shared" si="80"/>
        <v>-3.3353046637039002E-5</v>
      </c>
      <c r="AP22" s="41" t="str">
        <f t="shared" si="81"/>
        <v>72.2825068602249-0.966698952710804i</v>
      </c>
      <c r="AQ22">
        <f t="shared" si="82"/>
        <v>37.181440836779267</v>
      </c>
      <c r="AR22" s="43">
        <f t="shared" si="83"/>
        <v>-0.76622229318784629</v>
      </c>
      <c r="AS22" t="str">
        <f t="shared" si="58"/>
        <v>-0.0000166666666666667</v>
      </c>
      <c r="AT22" t="str">
        <f t="shared" si="59"/>
        <v>2.34238773516088E-07i</v>
      </c>
      <c r="AU22">
        <f t="shared" si="84"/>
        <v>2.34238773516088E-7</v>
      </c>
      <c r="AV22">
        <f t="shared" si="85"/>
        <v>1.5707963267948966</v>
      </c>
      <c r="AW22" t="str">
        <f t="shared" si="60"/>
        <v>1+0.000234036144819275i</v>
      </c>
      <c r="AX22">
        <f t="shared" si="86"/>
        <v>1.0000000273864582</v>
      </c>
      <c r="AY22">
        <f t="shared" si="87"/>
        <v>2.3403614054632769E-4</v>
      </c>
      <c r="AZ22" t="str">
        <f t="shared" si="61"/>
        <v>1+0.00795722892385533i</v>
      </c>
      <c r="BA22">
        <f t="shared" si="88"/>
        <v>1.0000316582449511</v>
      </c>
      <c r="BB22">
        <f t="shared" si="89"/>
        <v>7.9570609863086825E-3</v>
      </c>
      <c r="BC22" s="41" t="str">
        <f t="shared" si="90"/>
        <v>-0.549524191354244+71.1525958815045i</v>
      </c>
      <c r="BD22">
        <f t="shared" si="91"/>
        <v>37.044074022113172</v>
      </c>
      <c r="BE22" s="43">
        <f t="shared" si="92"/>
        <v>90.442496728736856</v>
      </c>
      <c r="BF22" s="41" t="str">
        <f t="shared" si="93"/>
        <v>12.4844483587521+1395.77864807208i</v>
      </c>
      <c r="BG22" s="20">
        <f t="shared" si="94"/>
        <v>62.896678442581631</v>
      </c>
      <c r="BH22" s="43">
        <f t="shared" si="95"/>
        <v>89.487535414808974</v>
      </c>
      <c r="BI22" s="41" t="str">
        <f t="shared" si="96"/>
        <v>29.0621537898828+5143.61922438793i</v>
      </c>
      <c r="BJ22" s="20">
        <f t="shared" si="97"/>
        <v>74.225514858892438</v>
      </c>
      <c r="BK22" s="43">
        <f t="shared" si="98"/>
        <v>89.676274435549004</v>
      </c>
      <c r="BL22">
        <f t="shared" si="99"/>
        <v>62.896678442581631</v>
      </c>
      <c r="BM22" s="43">
        <f t="shared" si="100"/>
        <v>89.487535414808974</v>
      </c>
    </row>
    <row r="23" spans="1:65" x14ac:dyDescent="0.25">
      <c r="A23" t="s">
        <v>175</v>
      </c>
      <c r="B23" s="29">
        <f>Lm</f>
        <v>9.9999999999999995E-7</v>
      </c>
      <c r="C23" t="s">
        <v>87</v>
      </c>
      <c r="E23" t="s">
        <v>176</v>
      </c>
      <c r="N23" s="9">
        <v>5</v>
      </c>
      <c r="O23" s="34">
        <f t="shared" si="62"/>
        <v>11.220184543019636</v>
      </c>
      <c r="P23" s="33" t="str">
        <f t="shared" si="50"/>
        <v>19.6196196196196</v>
      </c>
      <c r="Q23" s="4" t="str">
        <f t="shared" si="63"/>
        <v>1+0.0170646591136805i</v>
      </c>
      <c r="R23" s="4">
        <f t="shared" si="64"/>
        <v>1.0001455906970076</v>
      </c>
      <c r="S23" s="4">
        <f t="shared" si="65"/>
        <v>1.70630029787191E-2</v>
      </c>
      <c r="T23" s="4" t="str">
        <f t="shared" si="51"/>
        <v>1+0.000265074354978687i</v>
      </c>
      <c r="U23" s="4">
        <f t="shared" si="66"/>
        <v>1.0000000351322063</v>
      </c>
      <c r="V23" s="4">
        <f t="shared" si="67"/>
        <v>2.6507434877025586E-4</v>
      </c>
      <c r="W23" t="str">
        <f t="shared" si="52"/>
        <v>1-0.000154215465828691i</v>
      </c>
      <c r="X23" s="4">
        <f t="shared" si="68"/>
        <v>1.0000000118912049</v>
      </c>
      <c r="Y23" s="4">
        <f t="shared" si="69"/>
        <v>-1.5421546460615254E-4</v>
      </c>
      <c r="Z23" t="str">
        <f t="shared" si="53"/>
        <v>0.999999999874107+0.000103229944473083i</v>
      </c>
      <c r="AA23" s="4">
        <f t="shared" si="70"/>
        <v>1.0000000052023177</v>
      </c>
      <c r="AB23" s="4">
        <f t="shared" si="71"/>
        <v>1.0322994411939167E-4</v>
      </c>
      <c r="AC23" s="47" t="str">
        <f t="shared" si="72"/>
        <v>19.6139113719434-0.33455503454012i</v>
      </c>
      <c r="AD23" s="20">
        <f t="shared" si="73"/>
        <v>25.852547533183667</v>
      </c>
      <c r="AE23" s="43">
        <f t="shared" si="74"/>
        <v>-0.97720095043303856</v>
      </c>
      <c r="AF23" t="str">
        <f t="shared" si="54"/>
        <v>72.2956529813786</v>
      </c>
      <c r="AG23" t="str">
        <f t="shared" si="55"/>
        <v>1+0.0139164036363811i</v>
      </c>
      <c r="AH23">
        <f t="shared" si="75"/>
        <v>1.0000968284572103</v>
      </c>
      <c r="AI23">
        <f t="shared" si="76"/>
        <v>1.3915505361336554E-2</v>
      </c>
      <c r="AJ23" t="str">
        <f t="shared" si="56"/>
        <v>1+0.000265074354978687i</v>
      </c>
      <c r="AK23">
        <f t="shared" si="77"/>
        <v>1.0000000351322063</v>
      </c>
      <c r="AL23">
        <f t="shared" si="78"/>
        <v>2.6507434877025586E-4</v>
      </c>
      <c r="AM23" t="str">
        <f t="shared" si="57"/>
        <v>1-0.0000341299389075508i</v>
      </c>
      <c r="AN23">
        <f t="shared" si="79"/>
        <v>1.0000000005824263</v>
      </c>
      <c r="AO23">
        <f t="shared" si="80"/>
        <v>-3.4129938894298684E-5</v>
      </c>
      <c r="AP23" s="41" t="str">
        <f t="shared" si="81"/>
        <v>72.2818874225866-0.989207643609908i</v>
      </c>
      <c r="AQ23">
        <f t="shared" si="82"/>
        <v>37.181403002979764</v>
      </c>
      <c r="AR23" s="43">
        <f t="shared" si="83"/>
        <v>-0.78406758700822277</v>
      </c>
      <c r="AS23" t="str">
        <f t="shared" si="58"/>
        <v>-0.0000166666666666667</v>
      </c>
      <c r="AT23" t="str">
        <f t="shared" si="59"/>
        <v>2.39694895459451E-07i</v>
      </c>
      <c r="AU23">
        <f t="shared" si="84"/>
        <v>2.3969489545945102E-7</v>
      </c>
      <c r="AV23">
        <f t="shared" si="85"/>
        <v>1.5707963267948966</v>
      </c>
      <c r="AW23" t="str">
        <f t="shared" si="60"/>
        <v>1+0.000239487546933968i</v>
      </c>
      <c r="AX23">
        <f t="shared" si="86"/>
        <v>1.0000000286771422</v>
      </c>
      <c r="AY23">
        <f t="shared" si="87"/>
        <v>2.3948754235542249E-4</v>
      </c>
      <c r="AZ23" t="str">
        <f t="shared" si="61"/>
        <v>1+0.00814257659575489i</v>
      </c>
      <c r="BA23">
        <f t="shared" si="88"/>
        <v>1.0000331502273401</v>
      </c>
      <c r="BB23">
        <f t="shared" si="89"/>
        <v>8.1423966477537513E-3</v>
      </c>
      <c r="BC23" s="41" t="str">
        <f t="shared" si="90"/>
        <v>-0.549524189935721+69.5329709861978i</v>
      </c>
      <c r="BD23">
        <f t="shared" si="91"/>
        <v>36.844086969676894</v>
      </c>
      <c r="BE23" s="43">
        <f t="shared" si="92"/>
        <v>90.452803337614824</v>
      </c>
      <c r="BF23" s="41" t="str">
        <f t="shared" si="93"/>
        <v>12.4842867518263+1363.99737643554i</v>
      </c>
      <c r="BG23" s="20">
        <f t="shared" si="94"/>
        <v>62.696634502860569</v>
      </c>
      <c r="BH23" s="43">
        <f t="shared" si="95"/>
        <v>89.475602387181809</v>
      </c>
      <c r="BI23" s="41" t="str">
        <f t="shared" si="96"/>
        <v>29.0619007495309+5026.51797451136i</v>
      </c>
      <c r="BJ23" s="20">
        <f t="shared" si="97"/>
        <v>74.025489972656658</v>
      </c>
      <c r="BK23" s="43">
        <f t="shared" si="98"/>
        <v>89.668735750606615</v>
      </c>
      <c r="BL23">
        <f t="shared" si="99"/>
        <v>62.696634502860569</v>
      </c>
      <c r="BM23" s="43">
        <f t="shared" si="100"/>
        <v>89.475602387181809</v>
      </c>
    </row>
    <row r="24" spans="1:65" x14ac:dyDescent="0.25">
      <c r="N24" s="9">
        <v>6</v>
      </c>
      <c r="O24" s="34">
        <f t="shared" si="62"/>
        <v>11.481536214968834</v>
      </c>
      <c r="P24" s="33" t="str">
        <f t="shared" si="50"/>
        <v>19.6196196196196</v>
      </c>
      <c r="Q24" s="4" t="str">
        <f t="shared" si="63"/>
        <v>1+0.0174621460866892i</v>
      </c>
      <c r="R24" s="4">
        <f t="shared" si="64"/>
        <v>1.0001524516522233</v>
      </c>
      <c r="S24" s="4">
        <f t="shared" si="65"/>
        <v>1.7460371520714869E-2</v>
      </c>
      <c r="T24" s="4" t="str">
        <f t="shared" si="51"/>
        <v>1+0.000271248729883031i</v>
      </c>
      <c r="U24" s="4">
        <f t="shared" si="66"/>
        <v>1.000000036787936</v>
      </c>
      <c r="V24" s="4">
        <f t="shared" si="67"/>
        <v>2.7124872323057724E-4</v>
      </c>
      <c r="W24" t="str">
        <f t="shared" si="52"/>
        <v>1-0.000157807605483812i</v>
      </c>
      <c r="X24" s="4">
        <f t="shared" si="68"/>
        <v>1.0000000124516202</v>
      </c>
      <c r="Y24" s="4">
        <f t="shared" si="69"/>
        <v>-1.5780760417383844E-4</v>
      </c>
      <c r="Z24" t="str">
        <f t="shared" si="53"/>
        <v>0.999999999868174+0.000105634478772837i</v>
      </c>
      <c r="AA24" s="4">
        <f t="shared" si="70"/>
        <v>1.0000000054474953</v>
      </c>
      <c r="AB24" s="4">
        <f t="shared" si="71"/>
        <v>1.0563447839384988E-4</v>
      </c>
      <c r="AC24" s="47" t="str">
        <f t="shared" si="72"/>
        <v>19.6136424325252-0.342343126121823i</v>
      </c>
      <c r="AD24" s="20">
        <f t="shared" si="73"/>
        <v>25.85248796568283</v>
      </c>
      <c r="AE24" s="43">
        <f t="shared" si="74"/>
        <v>-0.999958309305224</v>
      </c>
      <c r="AF24" t="str">
        <f t="shared" si="54"/>
        <v>72.2956529813786</v>
      </c>
      <c r="AG24" t="str">
        <f t="shared" si="55"/>
        <v>1+0.0142405583188592i</v>
      </c>
      <c r="AH24">
        <f t="shared" si="75"/>
        <v>1.0001013916104871</v>
      </c>
      <c r="AI24">
        <f t="shared" si="76"/>
        <v>1.4239595805077747E-2</v>
      </c>
      <c r="AJ24" t="str">
        <f t="shared" si="56"/>
        <v>1+0.000271248729883031i</v>
      </c>
      <c r="AK24">
        <f t="shared" si="77"/>
        <v>1.000000036787936</v>
      </c>
      <c r="AL24">
        <f t="shared" si="78"/>
        <v>2.7124872323057724E-4</v>
      </c>
      <c r="AM24" t="str">
        <f t="shared" si="57"/>
        <v>1-0.000034924927311067i</v>
      </c>
      <c r="AN24">
        <f t="shared" si="79"/>
        <v>1.0000000006098753</v>
      </c>
      <c r="AO24">
        <f t="shared" si="80"/>
        <v>-3.49249272968671E-5</v>
      </c>
      <c r="AP24" s="41" t="str">
        <f t="shared" si="81"/>
        <v>72.2812388033235-1.01224001291613i</v>
      </c>
      <c r="AQ24">
        <f t="shared" si="82"/>
        <v>37.181363386481763</v>
      </c>
      <c r="AR24" s="43">
        <f t="shared" si="83"/>
        <v>-0.80232838549763041</v>
      </c>
      <c r="AS24" t="str">
        <f t="shared" si="58"/>
        <v>-0.0000166666666666667</v>
      </c>
      <c r="AT24" t="str">
        <f t="shared" si="59"/>
        <v>2.45278106809125E-07i</v>
      </c>
      <c r="AU24">
        <f t="shared" si="84"/>
        <v>2.4527810680912499E-7</v>
      </c>
      <c r="AV24">
        <f t="shared" si="85"/>
        <v>1.5707963267948966</v>
      </c>
      <c r="AW24" t="str">
        <f t="shared" si="60"/>
        <v>1+0.000245065928516037i</v>
      </c>
      <c r="AX24">
        <f t="shared" si="86"/>
        <v>1.0000000300286542</v>
      </c>
      <c r="AY24">
        <f t="shared" si="87"/>
        <v>2.4506592361003707E-4</v>
      </c>
      <c r="AZ24" t="str">
        <f t="shared" si="61"/>
        <v>1+0.00833224156954526i</v>
      </c>
      <c r="BA24">
        <f t="shared" si="88"/>
        <v>1.000034712522307</v>
      </c>
      <c r="BB24">
        <f t="shared" si="89"/>
        <v>8.3320487521495786E-3</v>
      </c>
      <c r="BC24" s="41" t="str">
        <f t="shared" si="90"/>
        <v>-0.549524188450343+67.9502133924853i</v>
      </c>
      <c r="BD24">
        <f t="shared" si="91"/>
        <v>36.644100527399019</v>
      </c>
      <c r="BE24" s="43">
        <f t="shared" si="92"/>
        <v>90.463349985070082</v>
      </c>
      <c r="BF24" s="41" t="str">
        <f t="shared" si="93"/>
        <v>12.4841175331398+1332.93931452255i</v>
      </c>
      <c r="BG24" s="20">
        <f t="shared" si="94"/>
        <v>62.496588493081866</v>
      </c>
      <c r="BH24" s="43">
        <f t="shared" si="95"/>
        <v>89.463391675764868</v>
      </c>
      <c r="BI24" s="41" t="str">
        <f t="shared" si="96"/>
        <v>29.0616357884813+4912.08185133063i</v>
      </c>
      <c r="BJ24" s="20">
        <f t="shared" si="97"/>
        <v>73.825463913880768</v>
      </c>
      <c r="BK24" s="43">
        <f t="shared" si="98"/>
        <v>89.66102159957245</v>
      </c>
      <c r="BL24">
        <f t="shared" si="99"/>
        <v>62.496588493081866</v>
      </c>
      <c r="BM24" s="43">
        <f t="shared" si="100"/>
        <v>89.463391675764868</v>
      </c>
    </row>
    <row r="25" spans="1:65" x14ac:dyDescent="0.25">
      <c r="A25" t="s">
        <v>137</v>
      </c>
      <c r="B25" s="29">
        <f>R_cs</f>
        <v>1.5E-3</v>
      </c>
      <c r="C25" s="2" t="s">
        <v>36</v>
      </c>
      <c r="E25" t="s">
        <v>177</v>
      </c>
      <c r="N25" s="9">
        <v>7</v>
      </c>
      <c r="O25" s="34">
        <f t="shared" si="62"/>
        <v>11.748975549395301</v>
      </c>
      <c r="P25" s="33" t="str">
        <f t="shared" si="50"/>
        <v>19.6196196196196</v>
      </c>
      <c r="Q25" s="4" t="str">
        <f t="shared" si="63"/>
        <v>1+0.0178688917206918i</v>
      </c>
      <c r="R25" s="4">
        <f t="shared" si="64"/>
        <v>1.000159635903852</v>
      </c>
      <c r="S25" s="4">
        <f t="shared" si="65"/>
        <v>1.7866990255383006E-2</v>
      </c>
      <c r="T25" s="4" t="str">
        <f t="shared" si="51"/>
        <v>1+0.000277566924454361i</v>
      </c>
      <c r="U25" s="4">
        <f t="shared" si="66"/>
        <v>1.0000000385216981</v>
      </c>
      <c r="V25" s="4">
        <f t="shared" si="67"/>
        <v>2.7756691732612839E-4</v>
      </c>
      <c r="W25" t="str">
        <f t="shared" si="52"/>
        <v>1-0.000161483416820191i</v>
      </c>
      <c r="X25" s="4">
        <f t="shared" si="68"/>
        <v>1.000000013038447</v>
      </c>
      <c r="Y25" s="4">
        <f t="shared" si="69"/>
        <v>-1.6148341541652903E-4</v>
      </c>
      <c r="Z25" t="str">
        <f t="shared" si="53"/>
        <v>0.999999999861962+0.000108095021871474i</v>
      </c>
      <c r="AA25" s="4">
        <f t="shared" si="70"/>
        <v>1.0000000057042289</v>
      </c>
      <c r="AB25" s="4">
        <f t="shared" si="71"/>
        <v>1.0809502146538191E-4</v>
      </c>
      <c r="AC25" s="47" t="str">
        <f t="shared" si="72"/>
        <v>19.613360826292-0.350312289929031i</v>
      </c>
      <c r="AD25" s="20">
        <f t="shared" si="73"/>
        <v>25.85242559172832</v>
      </c>
      <c r="AE25" s="43">
        <f t="shared" si="74"/>
        <v>-1.0232454280206407</v>
      </c>
      <c r="AF25" t="str">
        <f t="shared" si="54"/>
        <v>72.2956529813786</v>
      </c>
      <c r="AG25" t="str">
        <f t="shared" si="55"/>
        <v>1+0.014572263533854i</v>
      </c>
      <c r="AH25">
        <f t="shared" si="75"/>
        <v>1.0001061697962372</v>
      </c>
      <c r="AI25">
        <f t="shared" si="76"/>
        <v>1.4571232187668785E-2</v>
      </c>
      <c r="AJ25" t="str">
        <f t="shared" si="56"/>
        <v>1+0.000277566924454361i</v>
      </c>
      <c r="AK25">
        <f t="shared" si="77"/>
        <v>1.0000000385216981</v>
      </c>
      <c r="AL25">
        <f t="shared" si="78"/>
        <v>2.7756691732612839E-4</v>
      </c>
      <c r="AM25" t="str">
        <f t="shared" si="57"/>
        <v>1-0.0000357384333733296i</v>
      </c>
      <c r="AN25">
        <f t="shared" si="79"/>
        <v>1.0000000006386178</v>
      </c>
      <c r="AO25">
        <f t="shared" si="80"/>
        <v>-3.5738433358114133E-5</v>
      </c>
      <c r="AP25" s="41" t="str">
        <f t="shared" si="81"/>
        <v>72.2805596282637-1.0358082146053i</v>
      </c>
      <c r="AQ25">
        <f t="shared" si="82"/>
        <v>37.181321903303314</v>
      </c>
      <c r="AR25" s="43">
        <f t="shared" si="83"/>
        <v>-0.82101435516118293</v>
      </c>
      <c r="AS25" t="str">
        <f t="shared" si="58"/>
        <v>-0.0000166666666666667</v>
      </c>
      <c r="AT25" t="str">
        <f t="shared" si="59"/>
        <v>2.50991367857667E-07i</v>
      </c>
      <c r="AU25">
        <f t="shared" si="84"/>
        <v>2.50991367857667E-7</v>
      </c>
      <c r="AV25">
        <f t="shared" si="85"/>
        <v>1.5707963267948966</v>
      </c>
      <c r="AW25" t="str">
        <f t="shared" si="60"/>
        <v>1+0.000250774247297237i</v>
      </c>
      <c r="AX25">
        <f t="shared" si="86"/>
        <v>1.0000000314438611</v>
      </c>
      <c r="AY25">
        <f t="shared" si="87"/>
        <v>2.5077424204036339E-4</v>
      </c>
      <c r="AZ25" t="str">
        <f t="shared" si="61"/>
        <v>1+0.00852632440810606i</v>
      </c>
      <c r="BA25">
        <f t="shared" si="88"/>
        <v>1.0000363484433514</v>
      </c>
      <c r="BB25">
        <f t="shared" si="89"/>
        <v>8.5261178009497837E-3</v>
      </c>
      <c r="BC25" s="41" t="str">
        <f t="shared" si="90"/>
        <v>-0.549524186894965+66.4034839013413i</v>
      </c>
      <c r="BD25">
        <f t="shared" si="91"/>
        <v>36.444114724031508</v>
      </c>
      <c r="BE25" s="43">
        <f t="shared" si="92"/>
        <v>90.474142259946277</v>
      </c>
      <c r="BF25" s="41" t="str">
        <f t="shared" si="93"/>
        <v>12.4839403443988+1302.58799495616i</v>
      </c>
      <c r="BG25" s="20">
        <f t="shared" si="94"/>
        <v>62.29654031575982</v>
      </c>
      <c r="BH25" s="43">
        <f t="shared" si="95"/>
        <v>89.450896831925647</v>
      </c>
      <c r="BI25" s="41" t="str">
        <f t="shared" si="96"/>
        <v>29.0613583453855+4800.25017932226i</v>
      </c>
      <c r="BJ25" s="20">
        <f t="shared" si="97"/>
        <v>73.625436627334821</v>
      </c>
      <c r="BK25" s="43">
        <f t="shared" si="98"/>
        <v>89.653127904785109</v>
      </c>
      <c r="BL25">
        <f t="shared" si="99"/>
        <v>62.29654031575982</v>
      </c>
      <c r="BM25" s="43">
        <f t="shared" si="100"/>
        <v>89.450896831925647</v>
      </c>
    </row>
    <row r="26" spans="1:65" x14ac:dyDescent="0.25">
      <c r="A26" t="s">
        <v>138</v>
      </c>
      <c r="B26" s="29">
        <f>R_sl</f>
        <v>0</v>
      </c>
      <c r="C26" s="2" t="s">
        <v>36</v>
      </c>
      <c r="E26" t="s">
        <v>493</v>
      </c>
      <c r="N26" s="9">
        <v>8</v>
      </c>
      <c r="O26" s="34">
        <f t="shared" si="62"/>
        <v>12.022644346174133</v>
      </c>
      <c r="P26" s="33" t="str">
        <f t="shared" si="50"/>
        <v>19.6196196196196</v>
      </c>
      <c r="Q26" s="4" t="str">
        <f t="shared" si="63"/>
        <v>1+0.0182851116776075i</v>
      </c>
      <c r="R26" s="4">
        <f t="shared" si="64"/>
        <v>1.0001671586835186</v>
      </c>
      <c r="S26" s="4">
        <f t="shared" si="65"/>
        <v>1.8283074239211636E-2</v>
      </c>
      <c r="T26" s="4" t="str">
        <f t="shared" si="51"/>
        <v>1+0.000284032288683069i</v>
      </c>
      <c r="U26" s="4">
        <f t="shared" si="66"/>
        <v>1.0000000403371696</v>
      </c>
      <c r="V26" s="4">
        <f t="shared" si="67"/>
        <v>2.8403228104503016E-4</v>
      </c>
      <c r="W26" t="str">
        <f t="shared" si="52"/>
        <v>1-0.000165244848801653i</v>
      </c>
      <c r="X26" s="4">
        <f t="shared" si="68"/>
        <v>1.0000000136529299</v>
      </c>
      <c r="Y26" s="4">
        <f t="shared" si="69"/>
        <v>-1.6524484729760214E-4</v>
      </c>
      <c r="Z26" t="str">
        <f t="shared" si="53"/>
        <v>0.999999999855456+0.000110612878381514i</v>
      </c>
      <c r="AA26" s="4">
        <f t="shared" si="70"/>
        <v>1.0000000059730603</v>
      </c>
      <c r="AB26" s="4">
        <f t="shared" si="71"/>
        <v>1.1061287794637854E-4</v>
      </c>
      <c r="AC26" s="47" t="str">
        <f t="shared" si="72"/>
        <v>19.613065957038-0.358466719681646i</v>
      </c>
      <c r="AD26" s="20">
        <f t="shared" si="73"/>
        <v>25.852360279140608</v>
      </c>
      <c r="AE26" s="43">
        <f t="shared" si="74"/>
        <v>-1.0470746228843897</v>
      </c>
      <c r="AF26" t="str">
        <f t="shared" si="54"/>
        <v>72.2956529813786</v>
      </c>
      <c r="AG26" t="str">
        <f t="shared" si="55"/>
        <v>1+0.0149116951558611i</v>
      </c>
      <c r="AH26">
        <f t="shared" si="75"/>
        <v>1.0001111731464765</v>
      </c>
      <c r="AI26">
        <f t="shared" si="76"/>
        <v>1.4910590055147851E-2</v>
      </c>
      <c r="AJ26" t="str">
        <f t="shared" si="56"/>
        <v>1+0.000284032288683069i</v>
      </c>
      <c r="AK26">
        <f t="shared" si="77"/>
        <v>1.0000000403371696</v>
      </c>
      <c r="AL26">
        <f t="shared" si="78"/>
        <v>2.8403228104503016E-4</v>
      </c>
      <c r="AM26" t="str">
        <f t="shared" si="57"/>
        <v>1-0.0000365708884260208i</v>
      </c>
      <c r="AN26">
        <f t="shared" si="79"/>
        <v>1.0000000006687149</v>
      </c>
      <c r="AO26">
        <f t="shared" si="80"/>
        <v>-3.6570888409717134E-5</v>
      </c>
      <c r="AP26" s="41" t="str">
        <f t="shared" si="81"/>
        <v>72.279848458581-1.05992468260693i</v>
      </c>
      <c r="AQ26">
        <f t="shared" si="82"/>
        <v>37.181278465507923</v>
      </c>
      <c r="AR26" s="43">
        <f t="shared" si="83"/>
        <v>-0.84013538681927846</v>
      </c>
      <c r="AS26" t="str">
        <f t="shared" si="58"/>
        <v>-0.0000166666666666667</v>
      </c>
      <c r="AT26" t="str">
        <f t="shared" si="59"/>
        <v>2.56837707851712E-07i</v>
      </c>
      <c r="AU26">
        <f t="shared" si="84"/>
        <v>2.5683770785171202E-7</v>
      </c>
      <c r="AV26">
        <f t="shared" si="85"/>
        <v>1.5707963267948966</v>
      </c>
      <c r="AW26" t="str">
        <f t="shared" si="60"/>
        <v>1+0.000256615529903744i</v>
      </c>
      <c r="AX26">
        <f t="shared" si="86"/>
        <v>1.0000000329257646</v>
      </c>
      <c r="AY26">
        <f t="shared" si="87"/>
        <v>2.5661552427090248E-4</v>
      </c>
      <c r="AZ26" t="str">
        <f t="shared" si="61"/>
        <v>1+0.00872492801672727i</v>
      </c>
      <c r="BA26">
        <f t="shared" si="88"/>
        <v>1.0000380614601112</v>
      </c>
      <c r="BB26">
        <f t="shared" si="89"/>
        <v>8.7247066336257895E-3</v>
      </c>
      <c r="BC26" s="41" t="str">
        <f t="shared" si="90"/>
        <v>-0.549524185266279+64.8919624163155i</v>
      </c>
      <c r="BD26">
        <f t="shared" si="91"/>
        <v>36.24412958968081</v>
      </c>
      <c r="BE26" s="43">
        <f t="shared" si="92"/>
        <v>90.485185881098289</v>
      </c>
      <c r="BF26" s="41" t="str">
        <f t="shared" si="93"/>
        <v>12.4837548104662+1272.9273250849i</v>
      </c>
      <c r="BG26" s="20">
        <f t="shared" si="94"/>
        <v>62.096489868821394</v>
      </c>
      <c r="BH26" s="43">
        <f t="shared" si="95"/>
        <v>89.438111258213894</v>
      </c>
      <c r="BI26" s="41" t="str">
        <f t="shared" si="96"/>
        <v>29.0610678324822+4690.96366387887i</v>
      </c>
      <c r="BJ26" s="20">
        <f t="shared" si="97"/>
        <v>73.42540805518874</v>
      </c>
      <c r="BK26" s="43">
        <f t="shared" si="98"/>
        <v>89.645050494279019</v>
      </c>
      <c r="BL26">
        <f t="shared" si="99"/>
        <v>62.096489868821394</v>
      </c>
      <c r="BM26" s="43">
        <f t="shared" si="100"/>
        <v>89.438111258213894</v>
      </c>
    </row>
    <row r="27" spans="1:65" x14ac:dyDescent="0.25">
      <c r="A27" t="s">
        <v>129</v>
      </c>
      <c r="B27" s="12">
        <f>Rsl_int</f>
        <v>3000</v>
      </c>
      <c r="C27" s="2" t="s">
        <v>36</v>
      </c>
      <c r="E27" t="s">
        <v>178</v>
      </c>
      <c r="N27" s="9">
        <v>9</v>
      </c>
      <c r="O27" s="34">
        <f t="shared" si="62"/>
        <v>12.302687708123818</v>
      </c>
      <c r="P27" s="33" t="str">
        <f t="shared" si="50"/>
        <v>19.6196196196196</v>
      </c>
      <c r="Q27" s="4" t="str">
        <f t="shared" si="63"/>
        <v>1+0.0187110266427668i</v>
      </c>
      <c r="R27" s="4">
        <f t="shared" si="64"/>
        <v>1.0001750359402231</v>
      </c>
      <c r="S27" s="4">
        <f t="shared" si="65"/>
        <v>1.8708843508826706E-2</v>
      </c>
      <c r="T27" s="4" t="str">
        <f t="shared" si="51"/>
        <v>1+0.000290648250590849i</v>
      </c>
      <c r="U27" s="4">
        <f t="shared" si="66"/>
        <v>1.0000000422382018</v>
      </c>
      <c r="V27" s="4">
        <f t="shared" si="67"/>
        <v>2.9064824240654288E-4</v>
      </c>
      <c r="W27" t="str">
        <f t="shared" si="52"/>
        <v>1-0.000169093895789224i</v>
      </c>
      <c r="X27" s="4">
        <f t="shared" si="68"/>
        <v>1.0000000142963728</v>
      </c>
      <c r="Y27" s="4">
        <f t="shared" si="69"/>
        <v>-1.6909389417760445E-4</v>
      </c>
      <c r="Z27" t="str">
        <f t="shared" si="53"/>
        <v>0.999999999848644+0.000113189383303807i</v>
      </c>
      <c r="AA27" s="4">
        <f t="shared" si="70"/>
        <v>1.0000000062545622</v>
      </c>
      <c r="AB27" s="4">
        <f t="shared" si="71"/>
        <v>1.1318938283755096E-4</v>
      </c>
      <c r="AC27" s="47" t="str">
        <f t="shared" si="72"/>
        <v>19.6127572005325-0.36681070506992i</v>
      </c>
      <c r="AD27" s="20">
        <f t="shared" si="73"/>
        <v>25.852291889518824</v>
      </c>
      <c r="AE27" s="43">
        <f t="shared" si="74"/>
        <v>-1.0714584954137973</v>
      </c>
      <c r="AF27" t="str">
        <f t="shared" si="54"/>
        <v>72.2956529813786</v>
      </c>
      <c r="AG27" t="str">
        <f t="shared" si="55"/>
        <v>1+0.0152590331560196i</v>
      </c>
      <c r="AH27">
        <f t="shared" si="75"/>
        <v>1.0001164122705199</v>
      </c>
      <c r="AI27">
        <f t="shared" si="76"/>
        <v>1.525784902671515E-2</v>
      </c>
      <c r="AJ27" t="str">
        <f t="shared" si="56"/>
        <v>1+0.000290648250590849i</v>
      </c>
      <c r="AK27">
        <f t="shared" si="77"/>
        <v>1.0000000422382018</v>
      </c>
      <c r="AL27">
        <f t="shared" si="78"/>
        <v>2.9064824240654288E-4</v>
      </c>
      <c r="AM27" t="str">
        <f t="shared" si="57"/>
        <v>1-0.0000374227338478284i</v>
      </c>
      <c r="AN27">
        <f t="shared" si="79"/>
        <v>1.0000000007002305</v>
      </c>
      <c r="AO27">
        <f t="shared" si="80"/>
        <v>-3.7422733830358704E-5</v>
      </c>
      <c r="AP27" s="41" t="str">
        <f t="shared" si="81"/>
        <v>72.2791037877566-1.08460213710028i</v>
      </c>
      <c r="AQ27">
        <f t="shared" si="82"/>
        <v>37.181232981018283</v>
      </c>
      <c r="AR27" s="43">
        <f t="shared" si="83"/>
        <v>-0.85970160077210289</v>
      </c>
      <c r="AS27" t="str">
        <f t="shared" si="58"/>
        <v>-0.0000166666666666667</v>
      </c>
      <c r="AT27" t="str">
        <f t="shared" si="59"/>
        <v>2.62820226598108E-07i</v>
      </c>
      <c r="AU27">
        <f t="shared" si="84"/>
        <v>2.6282022659810801E-7</v>
      </c>
      <c r="AV27">
        <f t="shared" si="85"/>
        <v>1.5707963267948966</v>
      </c>
      <c r="AW27" t="str">
        <f t="shared" si="60"/>
        <v>1+0.000262592873460913i</v>
      </c>
      <c r="AX27">
        <f t="shared" si="86"/>
        <v>1.000000034477508</v>
      </c>
      <c r="AY27">
        <f t="shared" si="87"/>
        <v>2.6259286742521452E-4</v>
      </c>
      <c r="AZ27" t="str">
        <f t="shared" si="61"/>
        <v>1+0.00892815769767104i</v>
      </c>
      <c r="BA27">
        <f t="shared" si="88"/>
        <v>1.0000398552057186</v>
      </c>
      <c r="BB27">
        <f t="shared" si="89"/>
        <v>8.9279204819145436E-3</v>
      </c>
      <c r="BC27" s="41" t="str">
        <f t="shared" si="90"/>
        <v>-0.54952418356084+63.4148475087096i</v>
      </c>
      <c r="BD27">
        <f t="shared" si="91"/>
        <v>36.044145155871981</v>
      </c>
      <c r="BE27" s="43">
        <f t="shared" si="92"/>
        <v>90.496486700408397</v>
      </c>
      <c r="BF27" s="41" t="str">
        <f t="shared" si="93"/>
        <v>12.4835605385716+1243.94157845034i</v>
      </c>
      <c r="BG27" s="20">
        <f t="shared" si="94"/>
        <v>61.896437045390805</v>
      </c>
      <c r="BH27" s="43">
        <f t="shared" si="95"/>
        <v>89.425028204994618</v>
      </c>
      <c r="BI27" s="41" t="str">
        <f t="shared" si="96"/>
        <v>29.0607636343586+4584.16435987066i</v>
      </c>
      <c r="BJ27" s="20">
        <f t="shared" si="97"/>
        <v>73.225378136890271</v>
      </c>
      <c r="BK27" s="43">
        <f t="shared" si="98"/>
        <v>89.636785099636299</v>
      </c>
      <c r="BL27">
        <f t="shared" si="99"/>
        <v>61.896437045390805</v>
      </c>
      <c r="BM27" s="43">
        <f t="shared" si="100"/>
        <v>89.425028204994618</v>
      </c>
    </row>
    <row r="28" spans="1:65" x14ac:dyDescent="0.25">
      <c r="A28" t="s">
        <v>127</v>
      </c>
      <c r="B28" s="12">
        <f>Isl</f>
        <v>2.9999999999999997E-5</v>
      </c>
      <c r="C28" s="2" t="s">
        <v>11</v>
      </c>
      <c r="E28" t="s">
        <v>179</v>
      </c>
      <c r="N28" s="9">
        <v>10</v>
      </c>
      <c r="O28" s="34">
        <f t="shared" si="62"/>
        <v>12.58925411794168</v>
      </c>
      <c r="P28" s="33" t="str">
        <f t="shared" si="50"/>
        <v>19.6196196196196</v>
      </c>
      <c r="Q28" s="4" t="str">
        <f t="shared" si="63"/>
        <v>1+0.0191468624419217i</v>
      </c>
      <c r="R28" s="4">
        <f t="shared" si="64"/>
        <v>1.0001832843741041</v>
      </c>
      <c r="S28" s="4">
        <f t="shared" si="65"/>
        <v>1.9144523194910508E-2</v>
      </c>
      <c r="T28" s="4" t="str">
        <f t="shared" si="51"/>
        <v>1+0.000297418318048276i</v>
      </c>
      <c r="U28" s="4">
        <f t="shared" si="66"/>
        <v>1.000000044228827</v>
      </c>
      <c r="V28" s="4">
        <f t="shared" si="67"/>
        <v>2.9741830927863404E-4</v>
      </c>
      <c r="W28" t="str">
        <f t="shared" si="52"/>
        <v>1-0.000173032598598565i</v>
      </c>
      <c r="X28" s="4">
        <f t="shared" si="68"/>
        <v>1.00000001497014</v>
      </c>
      <c r="Y28" s="4">
        <f t="shared" si="69"/>
        <v>-1.7303259687168353E-4</v>
      </c>
      <c r="Z28" t="str">
        <f t="shared" si="53"/>
        <v>0.999999999841511+0.000115825902735366i</v>
      </c>
      <c r="AA28" s="4">
        <f t="shared" si="70"/>
        <v>1.0000000065493309</v>
      </c>
      <c r="AB28" s="4">
        <f t="shared" si="71"/>
        <v>1.1582590223576361E-4</v>
      </c>
      <c r="AC28" s="47" t="str">
        <f t="shared" si="72"/>
        <v>19.6124339032062-0.375348633867556i</v>
      </c>
      <c r="AD28" s="20">
        <f t="shared" si="73"/>
        <v>25.852220277948341</v>
      </c>
      <c r="AE28" s="43">
        <f t="shared" si="74"/>
        <v>-1.0964099388624411</v>
      </c>
      <c r="AF28" t="str">
        <f t="shared" si="54"/>
        <v>72.2956529813786</v>
      </c>
      <c r="AG28" t="str">
        <f t="shared" si="55"/>
        <v>1+0.0156144616975345i</v>
      </c>
      <c r="AH28">
        <f t="shared" si="75"/>
        <v>1.0001218982774569</v>
      </c>
      <c r="AI28">
        <f t="shared" si="76"/>
        <v>1.5613192888477092E-2</v>
      </c>
      <c r="AJ28" t="str">
        <f t="shared" si="56"/>
        <v>1+0.000297418318048276i</v>
      </c>
      <c r="AK28">
        <f t="shared" si="77"/>
        <v>1.000000044228827</v>
      </c>
      <c r="AL28">
        <f t="shared" si="78"/>
        <v>2.9741830927863404E-4</v>
      </c>
      <c r="AM28" t="str">
        <f t="shared" si="57"/>
        <v>1-0.0000382944212984706i</v>
      </c>
      <c r="AN28">
        <f t="shared" si="79"/>
        <v>1.0000000007332313</v>
      </c>
      <c r="AO28">
        <f t="shared" si="80"/>
        <v>-3.8294421279751484E-5</v>
      </c>
      <c r="AP28" s="41" t="str">
        <f t="shared" si="81"/>
        <v>72.2783240384016-1.109853590941i</v>
      </c>
      <c r="AQ28">
        <f t="shared" si="82"/>
        <v>37.181185353421647</v>
      </c>
      <c r="AR28" s="43">
        <f t="shared" si="83"/>
        <v>-0.87972335208004981</v>
      </c>
      <c r="AS28" t="str">
        <f t="shared" si="58"/>
        <v>-0.0000166666666666667</v>
      </c>
      <c r="AT28" t="str">
        <f t="shared" si="59"/>
        <v>2.68942096107484E-07i</v>
      </c>
      <c r="AU28">
        <f t="shared" si="84"/>
        <v>2.6894209610748399E-7</v>
      </c>
      <c r="AV28">
        <f t="shared" si="85"/>
        <v>1.5707963267948966</v>
      </c>
      <c r="AW28" t="str">
        <f t="shared" si="60"/>
        <v>1+0.000268709447235419i</v>
      </c>
      <c r="AX28">
        <f t="shared" si="86"/>
        <v>1.0000000361023829</v>
      </c>
      <c r="AY28">
        <f t="shared" si="87"/>
        <v>2.6870944076805162E-4</v>
      </c>
      <c r="AZ28" t="str">
        <f t="shared" si="61"/>
        <v>1+0.00913612120600425i</v>
      </c>
      <c r="BA28">
        <f t="shared" si="88"/>
        <v>1.0000417334845035</v>
      </c>
      <c r="BB28">
        <f t="shared" si="89"/>
        <v>9.1358670253145497E-3</v>
      </c>
      <c r="BC28" s="41" t="str">
        <f t="shared" si="90"/>
        <v>-0.549524181775024+61.9713559926475i</v>
      </c>
      <c r="BD28">
        <f t="shared" si="91"/>
        <v>35.844161455615229</v>
      </c>
      <c r="BE28" s="43">
        <f t="shared" si="92"/>
        <v>90.508050705871923</v>
      </c>
      <c r="BF28" s="41" t="str">
        <f t="shared" si="93"/>
        <v>12.4833571174841+1215.61538644877i</v>
      </c>
      <c r="BG28" s="20">
        <f t="shared" si="94"/>
        <v>61.696381733563584</v>
      </c>
      <c r="BH28" s="43">
        <f t="shared" si="95"/>
        <v>89.411640767009501</v>
      </c>
      <c r="BI28" s="41" t="str">
        <f t="shared" si="96"/>
        <v>29.0604451066502+4479.79564092217i</v>
      </c>
      <c r="BJ28" s="20">
        <f t="shared" si="97"/>
        <v>73.025346809036876</v>
      </c>
      <c r="BK28" s="43">
        <f t="shared" si="98"/>
        <v>89.628327353791889</v>
      </c>
      <c r="BL28">
        <f t="shared" si="99"/>
        <v>61.696381733563584</v>
      </c>
      <c r="BM28" s="43">
        <f t="shared" si="100"/>
        <v>89.411640767009501</v>
      </c>
    </row>
    <row r="29" spans="1:65" x14ac:dyDescent="0.25">
      <c r="A29" t="s">
        <v>491</v>
      </c>
      <c r="B29" s="12">
        <f>Vsl</f>
        <v>4.4999999999999998E-2</v>
      </c>
      <c r="C29" s="2"/>
      <c r="N29" s="9">
        <v>11</v>
      </c>
      <c r="O29" s="34">
        <f t="shared" si="62"/>
        <v>12.882495516931346</v>
      </c>
      <c r="P29" s="33" t="str">
        <f t="shared" si="50"/>
        <v>19.6196196196196</v>
      </c>
      <c r="Q29" s="4" t="str">
        <f t="shared" si="63"/>
        <v>1+0.0195928501609821i</v>
      </c>
      <c r="R29" s="4">
        <f t="shared" si="64"/>
        <v>1.0001919214717896</v>
      </c>
      <c r="S29" s="4">
        <f t="shared" si="65"/>
        <v>1.9590343638625714E-2</v>
      </c>
      <c r="T29" s="4" t="str">
        <f t="shared" si="51"/>
        <v>1+0.00030434608063473i</v>
      </c>
      <c r="U29" s="4">
        <f t="shared" si="66"/>
        <v>1.0000000463132674</v>
      </c>
      <c r="V29" s="4">
        <f t="shared" si="67"/>
        <v>3.0434607123788938E-4</v>
      </c>
      <c r="W29" t="str">
        <f t="shared" si="52"/>
        <v>1-0.00017706304558204i</v>
      </c>
      <c r="X29" s="4">
        <f t="shared" si="68"/>
        <v>1.000000015675661</v>
      </c>
      <c r="Y29" s="4">
        <f t="shared" si="69"/>
        <v>-1.7706304373165318E-4</v>
      </c>
      <c r="Z29" t="str">
        <f t="shared" si="53"/>
        <v>0.999999999834041+0.000118523834593692i</v>
      </c>
      <c r="AA29" s="4">
        <f t="shared" si="70"/>
        <v>1.0000000068579906</v>
      </c>
      <c r="AB29" s="4">
        <f t="shared" si="71"/>
        <v>1.1852383405835846E-4</v>
      </c>
      <c r="AC29" s="47" t="str">
        <f t="shared" si="72"/>
        <v>19.6120953807768-0.384084994085356i</v>
      </c>
      <c r="AD29" s="20">
        <f t="shared" si="73"/>
        <v>25.852145292694878</v>
      </c>
      <c r="AE29" s="43">
        <f t="shared" si="74"/>
        <v>-1.1219421448877152</v>
      </c>
      <c r="AF29" t="str">
        <f t="shared" si="54"/>
        <v>72.2956529813786</v>
      </c>
      <c r="AG29" t="str">
        <f t="shared" si="55"/>
        <v>1+0.0159781692333233i</v>
      </c>
      <c r="AH29">
        <f t="shared" si="75"/>
        <v>1.0001276427996824</v>
      </c>
      <c r="AI29">
        <f t="shared" si="76"/>
        <v>1.5976809689294807E-2</v>
      </c>
      <c r="AJ29" t="str">
        <f t="shared" si="56"/>
        <v>1+0.00030434608063473i</v>
      </c>
      <c r="AK29">
        <f t="shared" si="77"/>
        <v>1.0000000463132674</v>
      </c>
      <c r="AL29">
        <f t="shared" si="78"/>
        <v>3.0434607123788938E-4</v>
      </c>
      <c r="AM29" t="str">
        <f t="shared" si="57"/>
        <v>1-0.0000391864129581718i</v>
      </c>
      <c r="AN29">
        <f t="shared" si="79"/>
        <v>1.0000000007677874</v>
      </c>
      <c r="AO29">
        <f t="shared" si="80"/>
        <v>-3.9186412938113913E-5</v>
      </c>
      <c r="AP29" s="41" t="str">
        <f t="shared" si="81"/>
        <v>72.2775075589286-1.13569235622036i</v>
      </c>
      <c r="AQ29">
        <f t="shared" si="82"/>
        <v>37.18113548176575</v>
      </c>
      <c r="AR29" s="43">
        <f t="shared" si="83"/>
        <v>-0.90021123596260189</v>
      </c>
      <c r="AS29" t="str">
        <f t="shared" si="58"/>
        <v>-0.0000166666666666667</v>
      </c>
      <c r="AT29" t="str">
        <f t="shared" si="59"/>
        <v>2.75206562276086E-07i</v>
      </c>
      <c r="AU29">
        <f t="shared" si="84"/>
        <v>2.7520656227608601E-7</v>
      </c>
      <c r="AV29">
        <f t="shared" si="85"/>
        <v>1.5707963267948966</v>
      </c>
      <c r="AW29" t="str">
        <f t="shared" si="60"/>
        <v>1+0.00027496849431564i</v>
      </c>
      <c r="AX29">
        <f t="shared" si="86"/>
        <v>1.0000000378038356</v>
      </c>
      <c r="AY29">
        <f t="shared" si="87"/>
        <v>2.74968487385731E-4</v>
      </c>
      <c r="AZ29" t="str">
        <f t="shared" si="61"/>
        <v>1+0.00934892880673173i</v>
      </c>
      <c r="BA29">
        <f t="shared" si="88"/>
        <v>1.0000437002800595</v>
      </c>
      <c r="BB29">
        <f t="shared" si="89"/>
        <v>9.3486564478584885E-3</v>
      </c>
      <c r="BC29" s="41" t="str">
        <f t="shared" si="90"/>
        <v>-0.549524179905043+60.5607225098203i</v>
      </c>
      <c r="BD29">
        <f t="shared" si="91"/>
        <v>35.644178523475993</v>
      </c>
      <c r="BE29" s="43">
        <f t="shared" si="92"/>
        <v>90.51988402475375</v>
      </c>
      <c r="BF29" s="41" t="str">
        <f t="shared" si="93"/>
        <v>12.4831441166484+1187.93373018274i</v>
      </c>
      <c r="BG29" s="20">
        <f t="shared" si="94"/>
        <v>61.496323816170857</v>
      </c>
      <c r="BH29" s="43">
        <f t="shared" si="95"/>
        <v>89.397941879866039</v>
      </c>
      <c r="BI29" s="41" t="str">
        <f t="shared" si="96"/>
        <v>29.0601115746844+4377.80216938839i</v>
      </c>
      <c r="BJ29" s="20">
        <f t="shared" si="97"/>
        <v>72.825314005241736</v>
      </c>
      <c r="BK29" s="43">
        <f t="shared" si="98"/>
        <v>89.619672788791163</v>
      </c>
      <c r="BL29">
        <f t="shared" si="99"/>
        <v>61.496323816170857</v>
      </c>
      <c r="BM29" s="43">
        <f t="shared" si="100"/>
        <v>89.397941879866039</v>
      </c>
    </row>
    <row r="30" spans="1:65" x14ac:dyDescent="0.25">
      <c r="A30" t="s">
        <v>201</v>
      </c>
      <c r="B30" s="12">
        <f>Gcomp</f>
        <v>1</v>
      </c>
      <c r="C30" s="2"/>
      <c r="E30" t="s">
        <v>202</v>
      </c>
      <c r="N30" s="9">
        <v>12</v>
      </c>
      <c r="O30" s="34">
        <f t="shared" si="62"/>
        <v>13.182567385564075</v>
      </c>
      <c r="P30" s="33" t="str">
        <f t="shared" si="50"/>
        <v>19.6196196196196</v>
      </c>
      <c r="Q30" s="4" t="str">
        <f t="shared" si="63"/>
        <v>1+0.0200492262685398i</v>
      </c>
      <c r="R30" s="4">
        <f t="shared" si="64"/>
        <v>1.0002009655434088</v>
      </c>
      <c r="S30" s="4">
        <f t="shared" si="65"/>
        <v>2.0046540510590544E-2</v>
      </c>
      <c r="T30" s="4" t="str">
        <f t="shared" si="51"/>
        <v>1+0.000311435211541632i</v>
      </c>
      <c r="U30" s="4">
        <f t="shared" si="66"/>
        <v>1.0000000484959444</v>
      </c>
      <c r="V30" s="4">
        <f t="shared" si="67"/>
        <v>3.1143520147273589E-4</v>
      </c>
      <c r="W30" t="str">
        <f t="shared" si="52"/>
        <v>1-0.00018118737373599i</v>
      </c>
      <c r="X30" s="4">
        <f t="shared" si="68"/>
        <v>1.000000016414432</v>
      </c>
      <c r="Y30" s="4">
        <f t="shared" si="69"/>
        <v>-1.8118737175326478E-4</v>
      </c>
      <c r="Z30" t="str">
        <f t="shared" si="53"/>
        <v>0.99999999982622+0.000121284609357969i</v>
      </c>
      <c r="AA30" s="4">
        <f t="shared" si="70"/>
        <v>1.0000000071811981</v>
      </c>
      <c r="AB30" s="4">
        <f t="shared" si="71"/>
        <v>1.2128460878434874E-4</v>
      </c>
      <c r="AC30" s="47" t="str">
        <f t="shared" si="72"/>
        <v>19.6117409168092-0.393024376165624i</v>
      </c>
      <c r="AD30" s="20">
        <f t="shared" si="73"/>
        <v>25.852066774883685</v>
      </c>
      <c r="AE30" s="43">
        <f t="shared" si="74"/>
        <v>-1.1480686103644413</v>
      </c>
      <c r="AF30" t="str">
        <f t="shared" si="54"/>
        <v>72.2956529813786</v>
      </c>
      <c r="AG30" t="str">
        <f t="shared" si="55"/>
        <v>1+0.0163503486059357i</v>
      </c>
      <c r="AH30">
        <f t="shared" si="75"/>
        <v>1.0001336580175351</v>
      </c>
      <c r="AI30">
        <f t="shared" si="76"/>
        <v>1.6348891838777312E-2</v>
      </c>
      <c r="AJ30" t="str">
        <f t="shared" si="56"/>
        <v>1+0.000311435211541632i</v>
      </c>
      <c r="AK30">
        <f t="shared" si="77"/>
        <v>1.0000000484959444</v>
      </c>
      <c r="AL30">
        <f t="shared" si="78"/>
        <v>3.1143520147273589E-4</v>
      </c>
      <c r="AM30" t="str">
        <f t="shared" si="57"/>
        <v>1-0.000040099181772717i</v>
      </c>
      <c r="AN30">
        <f t="shared" si="79"/>
        <v>1.0000000008039722</v>
      </c>
      <c r="AO30">
        <f t="shared" si="80"/>
        <v>-4.0099181751224582E-5</v>
      </c>
      <c r="AP30" s="41" t="str">
        <f t="shared" si="81"/>
        <v>72.2766526200689-1.16213205095872i</v>
      </c>
      <c r="AQ30">
        <f t="shared" si="82"/>
        <v>37.181083260345382</v>
      </c>
      <c r="AR30" s="43">
        <f t="shared" si="83"/>
        <v>-0.92117609331789174</v>
      </c>
      <c r="AS30" t="str">
        <f t="shared" si="58"/>
        <v>-0.0000166666666666667</v>
      </c>
      <c r="AT30" t="str">
        <f t="shared" si="59"/>
        <v>2.81616946606795E-07i</v>
      </c>
      <c r="AU30">
        <f t="shared" si="84"/>
        <v>2.8161694660679502E-7</v>
      </c>
      <c r="AV30">
        <f t="shared" si="85"/>
        <v>1.5707963267948966</v>
      </c>
      <c r="AW30" t="str">
        <f t="shared" si="60"/>
        <v>1+0.000281373333331184i</v>
      </c>
      <c r="AX30">
        <f t="shared" si="86"/>
        <v>1.0000000395854756</v>
      </c>
      <c r="AY30">
        <f t="shared" si="87"/>
        <v>2.8137332590565274E-4</v>
      </c>
      <c r="AZ30" t="str">
        <f t="shared" si="61"/>
        <v>1+0.00956669333326025i</v>
      </c>
      <c r="BA30">
        <f t="shared" si="88"/>
        <v>1.0000457597636883</v>
      </c>
      <c r="BB30">
        <f t="shared" si="89"/>
        <v>9.5664014961908406E-3</v>
      </c>
      <c r="BC30" s="41" t="str">
        <f t="shared" si="90"/>
        <v>-0.549524177946936+59.1821991236841i</v>
      </c>
      <c r="BD30">
        <f t="shared" si="91"/>
        <v>35.444196395648298</v>
      </c>
      <c r="BE30" s="43">
        <f t="shared" si="92"/>
        <v>90.531992926817423</v>
      </c>
      <c r="BF30" s="41" t="str">
        <f t="shared" si="93"/>
        <v>12.4829210852778+1160.88193249793i</v>
      </c>
      <c r="BG30" s="20">
        <f t="shared" si="94"/>
        <v>61.296263170531979</v>
      </c>
      <c r="BH30" s="43">
        <f t="shared" si="95"/>
        <v>89.38392431645299</v>
      </c>
      <c r="BI30" s="41" t="str">
        <f t="shared" si="96"/>
        <v>29.0597623320548+4278.12986701423i</v>
      </c>
      <c r="BJ30" s="20">
        <f t="shared" si="97"/>
        <v>72.62527965599368</v>
      </c>
      <c r="BK30" s="43">
        <f t="shared" si="98"/>
        <v>89.610816833499527</v>
      </c>
      <c r="BL30">
        <f t="shared" si="99"/>
        <v>61.296263170531979</v>
      </c>
      <c r="BM30" s="43">
        <f t="shared" si="100"/>
        <v>89.38392431645299</v>
      </c>
    </row>
    <row r="31" spans="1:65" x14ac:dyDescent="0.25">
      <c r="A31" t="s">
        <v>481</v>
      </c>
      <c r="B31">
        <f>IF(Variable_Management!B20=3,1,IF((VOUT*IOUT)/(VIN_var*Np)&lt;((VIN_var*(1-(VIN_var/VOUT)))/(2*Lm*Fsw)),0,1))</f>
        <v>1</v>
      </c>
      <c r="E31" t="s">
        <v>482</v>
      </c>
      <c r="N31" s="9">
        <v>13</v>
      </c>
      <c r="O31" s="34">
        <f t="shared" si="62"/>
        <v>13.489628825916535</v>
      </c>
      <c r="P31" s="33" t="str">
        <f t="shared" si="50"/>
        <v>19.6196196196196</v>
      </c>
      <c r="Q31" s="4" t="str">
        <f t="shared" si="63"/>
        <v>1+0.020516232741248i</v>
      </c>
      <c r="R31" s="4">
        <f t="shared" si="64"/>
        <v>1.0002104357613417</v>
      </c>
      <c r="S31" s="4">
        <f t="shared" si="65"/>
        <v>2.0513354932456113E-2</v>
      </c>
      <c r="T31" s="4" t="str">
        <f t="shared" si="51"/>
        <v>1+0.000318689469520026i</v>
      </c>
      <c r="U31" s="4">
        <f t="shared" si="66"/>
        <v>1.0000000507814877</v>
      </c>
      <c r="V31" s="4">
        <f t="shared" si="67"/>
        <v>3.1868945873100943E-4</v>
      </c>
      <c r="W31" t="str">
        <f t="shared" si="52"/>
        <v>1-0.000185407769833792i</v>
      </c>
      <c r="X31" s="4">
        <f t="shared" si="68"/>
        <v>1.0000000171880203</v>
      </c>
      <c r="Y31" s="4">
        <f t="shared" si="69"/>
        <v>-1.8540776770926366E-4</v>
      </c>
      <c r="Z31" t="str">
        <f t="shared" si="53"/>
        <v>0.99999999981803+0.000124109690827518i</v>
      </c>
      <c r="AA31" s="4">
        <f t="shared" si="70"/>
        <v>1.0000000075196376</v>
      </c>
      <c r="AB31" s="4">
        <f t="shared" si="71"/>
        <v>1.2410969021287282E-4</v>
      </c>
      <c r="AC31" s="47" t="str">
        <f t="shared" si="72"/>
        <v>19.6113697612103-0.402171475217767i</v>
      </c>
      <c r="AD31" s="20">
        <f t="shared" si="73"/>
        <v>25.851984558164375</v>
      </c>
      <c r="AE31" s="43">
        <f t="shared" si="74"/>
        <v>-1.1748031443475653</v>
      </c>
      <c r="AF31" t="str">
        <f t="shared" si="54"/>
        <v>72.2956529813786</v>
      </c>
      <c r="AG31" t="str">
        <f t="shared" si="55"/>
        <v>1+0.0167311971498014i</v>
      </c>
      <c r="AH31">
        <f t="shared" si="75"/>
        <v>1.0001399566850959</v>
      </c>
      <c r="AI31">
        <f t="shared" si="76"/>
        <v>1.6729636207465162E-2</v>
      </c>
      <c r="AJ31" t="str">
        <f t="shared" si="56"/>
        <v>1+0.000318689469520026i</v>
      </c>
      <c r="AK31">
        <f t="shared" si="77"/>
        <v>1.0000000507814877</v>
      </c>
      <c r="AL31">
        <f t="shared" si="78"/>
        <v>3.1868945873100943E-4</v>
      </c>
      <c r="AM31" t="str">
        <f t="shared" si="57"/>
        <v>1-0.0000410332117042134i</v>
      </c>
      <c r="AN31">
        <f t="shared" si="79"/>
        <v>1.0000000008418621</v>
      </c>
      <c r="AO31">
        <f t="shared" si="80"/>
        <v>-4.1033211681183865E-5</v>
      </c>
      <c r="AP31" s="41" t="str">
        <f t="shared" si="81"/>
        <v>72.2757574112264-1.18918660593529i</v>
      </c>
      <c r="AQ31">
        <f t="shared" si="82"/>
        <v>37.181028578478809</v>
      </c>
      <c r="AR31" s="43">
        <f t="shared" si="83"/>
        <v>-0.94262901636560747</v>
      </c>
      <c r="AS31" t="str">
        <f t="shared" si="58"/>
        <v>-0.0000166666666666667</v>
      </c>
      <c r="AT31" t="str">
        <f t="shared" si="59"/>
        <v>2.88176647970237E-07i</v>
      </c>
      <c r="AU31">
        <f t="shared" si="84"/>
        <v>2.88176647970237E-7</v>
      </c>
      <c r="AV31">
        <f t="shared" si="85"/>
        <v>1.5707963267948966</v>
      </c>
      <c r="AW31" t="str">
        <f t="shared" si="60"/>
        <v>1+0.000287927360212478i</v>
      </c>
      <c r="AX31">
        <f t="shared" si="86"/>
        <v>1.0000000414510815</v>
      </c>
      <c r="AY31">
        <f t="shared" si="87"/>
        <v>2.8792735225587789E-4</v>
      </c>
      <c r="AZ31" t="str">
        <f t="shared" si="61"/>
        <v>1+0.00978953024722422i</v>
      </c>
      <c r="BA31">
        <f t="shared" si="88"/>
        <v>1.0000479163032445</v>
      </c>
      <c r="BB31">
        <f t="shared" si="89"/>
        <v>9.7892175389795791E-3</v>
      </c>
      <c r="BC31" s="41" t="str">
        <f t="shared" si="90"/>
        <v>-0.549524175896544+57.835054922892i</v>
      </c>
      <c r="BD31">
        <f t="shared" si="91"/>
        <v>35.244215110031128</v>
      </c>
      <c r="BE31" s="43">
        <f t="shared" si="92"/>
        <v>90.544383827628323</v>
      </c>
      <c r="BF31" s="41" t="str">
        <f t="shared" si="93"/>
        <v>12.4826875514086+1134.44565020123i</v>
      </c>
      <c r="BG31" s="20">
        <f t="shared" si="94"/>
        <v>61.09619966819551</v>
      </c>
      <c r="BH31" s="43">
        <f t="shared" si="95"/>
        <v>89.369580683280773</v>
      </c>
      <c r="BI31" s="41" t="str">
        <f t="shared" si="96"/>
        <v>29.0593966391323+4180.72588626151i</v>
      </c>
      <c r="BJ31" s="20">
        <f t="shared" si="97"/>
        <v>72.425243688509937</v>
      </c>
      <c r="BK31" s="43">
        <f t="shared" si="98"/>
        <v>89.601754811262737</v>
      </c>
      <c r="BL31">
        <f t="shared" si="99"/>
        <v>61.09619966819551</v>
      </c>
      <c r="BM31" s="43">
        <f t="shared" si="100"/>
        <v>89.369580683280773</v>
      </c>
    </row>
    <row r="32" spans="1:65" ht="15.75" x14ac:dyDescent="0.25">
      <c r="A32" s="35" t="s">
        <v>476</v>
      </c>
      <c r="E32" s="31" t="s">
        <v>500</v>
      </c>
      <c r="N32" s="9">
        <v>14</v>
      </c>
      <c r="O32" s="34">
        <f t="shared" si="62"/>
        <v>13.803842646028857</v>
      </c>
      <c r="P32" s="33" t="str">
        <f t="shared" si="50"/>
        <v>19.6196196196196</v>
      </c>
      <c r="Q32" s="4" t="str">
        <f t="shared" si="63"/>
        <v>1+0.02099411719212i</v>
      </c>
      <c r="R32" s="4">
        <f t="shared" si="64"/>
        <v>1.000220352200792</v>
      </c>
      <c r="S32" s="4">
        <f t="shared" si="65"/>
        <v>2.0991033601131626E-2</v>
      </c>
      <c r="T32" s="4" t="str">
        <f t="shared" si="51"/>
        <v>1+0.000326112700873514i</v>
      </c>
      <c r="U32" s="4">
        <f t="shared" si="66"/>
        <v>1.0000000531747455</v>
      </c>
      <c r="V32" s="4">
        <f t="shared" si="67"/>
        <v>3.261126893128745E-4</v>
      </c>
      <c r="W32" t="str">
        <f t="shared" si="52"/>
        <v>1-0.000189726471585323i</v>
      </c>
      <c r="X32" s="4">
        <f t="shared" si="68"/>
        <v>1.0000000179980668</v>
      </c>
      <c r="Y32" s="4">
        <f t="shared" si="69"/>
        <v>-1.8972646930884987E-4</v>
      </c>
      <c r="Z32" t="str">
        <f t="shared" si="53"/>
        <v>0.999999999809454+0.00012700057689793i</v>
      </c>
      <c r="AA32" s="4">
        <f t="shared" si="70"/>
        <v>1.0000000078740272</v>
      </c>
      <c r="AB32" s="4">
        <f t="shared" si="71"/>
        <v>1.2700057623932581E-4</v>
      </c>
      <c r="AC32" s="47" t="str">
        <f t="shared" si="72"/>
        <v>19.6109811286527-0.411531093295188i</v>
      </c>
      <c r="AD32" s="20">
        <f t="shared" si="73"/>
        <v>25.851898468359643</v>
      </c>
      <c r="AE32" s="43">
        <f t="shared" si="74"/>
        <v>-1.202159875186414</v>
      </c>
      <c r="AF32" t="str">
        <f t="shared" si="54"/>
        <v>72.2956529813786</v>
      </c>
      <c r="AG32" t="str">
        <f t="shared" si="55"/>
        <v>1+0.0171209167958595i</v>
      </c>
      <c r="AH32">
        <f t="shared" si="75"/>
        <v>1.0001465521571979</v>
      </c>
      <c r="AI32">
        <f t="shared" si="76"/>
        <v>1.7119244229248307E-2</v>
      </c>
      <c r="AJ32" t="str">
        <f t="shared" si="56"/>
        <v>1+0.000326112700873514i</v>
      </c>
      <c r="AK32">
        <f t="shared" si="77"/>
        <v>1.0000000531747455</v>
      </c>
      <c r="AL32">
        <f t="shared" si="78"/>
        <v>3.261126893128745E-4</v>
      </c>
      <c r="AM32" t="str">
        <f t="shared" si="57"/>
        <v>1-0.0000419889979876942i</v>
      </c>
      <c r="AN32">
        <f t="shared" si="79"/>
        <v>1.000000000881538</v>
      </c>
      <c r="AO32">
        <f t="shared" si="80"/>
        <v>-4.1988997963017601E-5</v>
      </c>
      <c r="AP32" s="41" t="str">
        <f t="shared" si="81"/>
        <v>72.2748200366611-1.21687027165578i</v>
      </c>
      <c r="AQ32">
        <f t="shared" si="82"/>
        <v>37.180971320273727</v>
      </c>
      <c r="AR32" s="43">
        <f t="shared" si="83"/>
        <v>-0.96458135441559645</v>
      </c>
      <c r="AS32" t="str">
        <f t="shared" si="58"/>
        <v>-0.0000166666666666667</v>
      </c>
      <c r="AT32" t="str">
        <f t="shared" si="59"/>
        <v>2.94889144406901E-07i</v>
      </c>
      <c r="AU32">
        <f t="shared" si="84"/>
        <v>2.94889144406901E-7</v>
      </c>
      <c r="AV32">
        <f t="shared" si="85"/>
        <v>1.5707963267948966</v>
      </c>
      <c r="AW32" t="str">
        <f t="shared" si="60"/>
        <v>1+0.000294634049991325i</v>
      </c>
      <c r="AX32">
        <f t="shared" si="86"/>
        <v>1.0000000434046108</v>
      </c>
      <c r="AY32">
        <f t="shared" si="87"/>
        <v>2.9463404146567443E-4</v>
      </c>
      <c r="AZ32" t="str">
        <f t="shared" si="61"/>
        <v>1+0.010017557699705i</v>
      </c>
      <c r="BA32">
        <f t="shared" si="88"/>
        <v>1.0000501744723946</v>
      </c>
      <c r="BB32">
        <f t="shared" si="89"/>
        <v>1.0017222627691913E-2</v>
      </c>
      <c r="BC32" s="41" t="str">
        <f t="shared" si="90"/>
        <v>-0.549524173749521+56.5185756337575i</v>
      </c>
      <c r="BD32">
        <f t="shared" si="91"/>
        <v>35.044234706309084</v>
      </c>
      <c r="BE32" s="43">
        <f t="shared" si="92"/>
        <v>90.55706329193282</v>
      </c>
      <c r="BF32" s="41" t="str">
        <f t="shared" si="93"/>
        <v>12.4824430209067+1108.61086645596i</v>
      </c>
      <c r="BG32" s="20">
        <f t="shared" si="94"/>
        <v>60.896133174668698</v>
      </c>
      <c r="BH32" s="43">
        <f t="shared" si="95"/>
        <v>89.35490341674641</v>
      </c>
      <c r="BI32" s="41" t="str">
        <f t="shared" si="96"/>
        <v>29.0590137215067+4085.53858228883i</v>
      </c>
      <c r="BJ32" s="20">
        <f t="shared" si="97"/>
        <v>72.225206026582796</v>
      </c>
      <c r="BK32" s="43">
        <f t="shared" si="98"/>
        <v>89.592481937517235</v>
      </c>
      <c r="BL32">
        <f t="shared" si="99"/>
        <v>60.896133174668698</v>
      </c>
      <c r="BM32" s="43">
        <f t="shared" si="100"/>
        <v>89.35490341674641</v>
      </c>
    </row>
    <row r="33" spans="1:65" x14ac:dyDescent="0.25">
      <c r="N33" s="9">
        <v>15</v>
      </c>
      <c r="O33" s="34">
        <f t="shared" si="62"/>
        <v>14.125375446227544</v>
      </c>
      <c r="P33" s="33" t="str">
        <f t="shared" si="50"/>
        <v>19.6196196196196</v>
      </c>
      <c r="Q33" s="4" t="str">
        <f t="shared" si="63"/>
        <v>1+0.0214831330018173i</v>
      </c>
      <c r="R33" s="4">
        <f t="shared" si="64"/>
        <v>1.0002307358822633</v>
      </c>
      <c r="S33" s="4">
        <f t="shared" si="65"/>
        <v>2.1479828915708252E-2</v>
      </c>
      <c r="T33" s="4" t="str">
        <f t="shared" si="51"/>
        <v>1+0.000333708841497617i</v>
      </c>
      <c r="U33" s="4">
        <f t="shared" si="66"/>
        <v>1.000000055680794</v>
      </c>
      <c r="V33" s="4">
        <f t="shared" si="67"/>
        <v>3.3370882911016865E-4</v>
      </c>
      <c r="W33" t="str">
        <f t="shared" si="52"/>
        <v>1-0.000194145768823414i</v>
      </c>
      <c r="X33" s="4">
        <f t="shared" si="68"/>
        <v>1.0000000188462896</v>
      </c>
      <c r="Y33" s="4">
        <f t="shared" si="69"/>
        <v>-1.9414576638412912E-4</v>
      </c>
      <c r="Z33" t="str">
        <f t="shared" si="53"/>
        <v>0.999999999800474+0.000129958800355265i</v>
      </c>
      <c r="AA33" s="4">
        <f t="shared" si="70"/>
        <v>1.0000000082451188</v>
      </c>
      <c r="AB33" s="4">
        <f t="shared" si="71"/>
        <v>1.2995879964955789E-4</v>
      </c>
      <c r="AC33" s="47" t="str">
        <f t="shared" si="72"/>
        <v>19.610574196925-0.421108141713773i</v>
      </c>
      <c r="AD33" s="20">
        <f t="shared" si="73"/>
        <v>25.851808323097451</v>
      </c>
      <c r="AE33" s="43">
        <f t="shared" si="74"/>
        <v>-1.2301532577935366</v>
      </c>
      <c r="AF33" t="str">
        <f t="shared" si="54"/>
        <v>72.2956529813786</v>
      </c>
      <c r="AG33" t="str">
        <f t="shared" si="55"/>
        <v>1+0.0175197141786249i</v>
      </c>
      <c r="AH33">
        <f t="shared" si="75"/>
        <v>1.0001534584177074</v>
      </c>
      <c r="AI33">
        <f t="shared" si="76"/>
        <v>1.7517922006062957E-2</v>
      </c>
      <c r="AJ33" t="str">
        <f t="shared" si="56"/>
        <v>1+0.000333708841497617i</v>
      </c>
      <c r="AK33">
        <f t="shared" si="77"/>
        <v>1.000000055680794</v>
      </c>
      <c r="AL33">
        <f t="shared" si="78"/>
        <v>3.3370882911016865E-4</v>
      </c>
      <c r="AM33" t="str">
        <f t="shared" si="57"/>
        <v>1-0.0000429670473936982i</v>
      </c>
      <c r="AN33">
        <f t="shared" si="79"/>
        <v>1.0000000009230836</v>
      </c>
      <c r="AO33">
        <f t="shared" si="80"/>
        <v>-4.2967047367256754E-5</v>
      </c>
      <c r="AP33" s="41" t="str">
        <f t="shared" si="81"/>
        <v>72.2738385114946-1.24519762545976i</v>
      </c>
      <c r="AQ33">
        <f t="shared" si="82"/>
        <v>37.180911364382261</v>
      </c>
      <c r="AR33" s="43">
        <f t="shared" si="83"/>
        <v>-0.98704471976477504</v>
      </c>
      <c r="AS33" t="str">
        <f t="shared" si="58"/>
        <v>-0.0000166666666666667</v>
      </c>
      <c r="AT33" t="str">
        <f t="shared" si="59"/>
        <v>3.01757994971249E-07i</v>
      </c>
      <c r="AU33">
        <f t="shared" si="84"/>
        <v>3.01757994971249E-7</v>
      </c>
      <c r="AV33">
        <f t="shared" si="85"/>
        <v>1.5707963267948966</v>
      </c>
      <c r="AW33" t="str">
        <f t="shared" si="60"/>
        <v>1+0.00030149695864342i</v>
      </c>
      <c r="AX33">
        <f t="shared" si="86"/>
        <v>1.0000000454502069</v>
      </c>
      <c r="AY33">
        <f t="shared" si="87"/>
        <v>3.0149694950802088E-4</v>
      </c>
      <c r="AZ33" t="str">
        <f t="shared" si="61"/>
        <v>1+0.0102508965938763i</v>
      </c>
      <c r="BA33">
        <f t="shared" si="88"/>
        <v>1.0000525390603128</v>
      </c>
      <c r="BB33">
        <f t="shared" si="89"/>
        <v>1.0250537558764362E-2</v>
      </c>
      <c r="BC33" s="41" t="str">
        <f t="shared" si="90"/>
        <v>-0.549524171501314+55.2320632415356i</v>
      </c>
      <c r="BD33">
        <f t="shared" si="91"/>
        <v>34.844255226036211</v>
      </c>
      <c r="BE33" s="43">
        <f t="shared" si="92"/>
        <v>90.570038037114642</v>
      </c>
      <c r="BF33" s="41" t="str">
        <f t="shared" si="93"/>
        <v>12.4821869764304+1083.36388335008i</v>
      </c>
      <c r="BG33" s="20">
        <f t="shared" si="94"/>
        <v>60.69606354913369</v>
      </c>
      <c r="BH33" s="43">
        <f t="shared" si="95"/>
        <v>89.339884779321125</v>
      </c>
      <c r="BI33" s="41" t="str">
        <f t="shared" si="96"/>
        <v>29.0586127683546+3992.51748556889i</v>
      </c>
      <c r="BJ33" s="20">
        <f t="shared" si="97"/>
        <v>72.025166590418479</v>
      </c>
      <c r="BK33" s="43">
        <f t="shared" si="98"/>
        <v>89.582993317349889</v>
      </c>
      <c r="BL33">
        <f t="shared" si="99"/>
        <v>60.69606354913369</v>
      </c>
      <c r="BM33" s="43">
        <f t="shared" si="100"/>
        <v>89.339884779321125</v>
      </c>
    </row>
    <row r="34" spans="1:65" x14ac:dyDescent="0.25">
      <c r="A34" t="s">
        <v>494</v>
      </c>
      <c r="B34">
        <f>(R_cs*Acs/(2*Lm*Fsw))*(1-(VIN_var/VOUT))*(VIN_var/VOUT)</f>
        <v>9.1836734693877546E-4</v>
      </c>
      <c r="E34" t="s">
        <v>497</v>
      </c>
      <c r="N34" s="9">
        <v>16</v>
      </c>
      <c r="O34" s="34">
        <f t="shared" si="62"/>
        <v>14.454397707459275</v>
      </c>
      <c r="P34" s="33" t="str">
        <f t="shared" si="50"/>
        <v>19.6196196196196</v>
      </c>
      <c r="Q34" s="4" t="str">
        <f t="shared" si="63"/>
        <v>1+0.0219835394529951i</v>
      </c>
      <c r="R34" s="4">
        <f t="shared" si="64"/>
        <v>1.0002416088160306</v>
      </c>
      <c r="S34" s="4">
        <f t="shared" si="65"/>
        <v>2.1979999107128955E-2</v>
      </c>
      <c r="T34" s="4" t="str">
        <f t="shared" si="51"/>
        <v>1+0.00034148191896664i</v>
      </c>
      <c r="U34" s="4">
        <f t="shared" si="66"/>
        <v>1.0000000583049489</v>
      </c>
      <c r="V34" s="4">
        <f t="shared" si="67"/>
        <v>3.4148190569325003E-4</v>
      </c>
      <c r="W34" t="str">
        <f t="shared" si="52"/>
        <v>1-0.000198668004717959i</v>
      </c>
      <c r="X34" s="4">
        <f t="shared" si="68"/>
        <v>1.0000000197344878</v>
      </c>
      <c r="Y34" s="4">
        <f t="shared" si="69"/>
        <v>-1.9866800210421816E-4</v>
      </c>
      <c r="Z34" t="str">
        <f t="shared" si="53"/>
        <v>0.99999999979107+0.000132985929688756i</v>
      </c>
      <c r="AA34" s="4">
        <f t="shared" si="70"/>
        <v>1.0000000086336986</v>
      </c>
      <c r="AB34" s="4">
        <f t="shared" si="71"/>
        <v>1.3298592893257728E-4</v>
      </c>
      <c r="AC34" s="47" t="str">
        <f t="shared" si="72"/>
        <v>19.6101481052067-0.430907643412117i</v>
      </c>
      <c r="AD34" s="20">
        <f t="shared" si="73"/>
        <v>25.851713931426591</v>
      </c>
      <c r="AE34" s="43">
        <f t="shared" si="74"/>
        <v>-1.2587980810708279</v>
      </c>
      <c r="AF34" t="str">
        <f t="shared" si="54"/>
        <v>72.2956529813786</v>
      </c>
      <c r="AG34" t="str">
        <f t="shared" si="55"/>
        <v>1+0.0179278007457486i</v>
      </c>
      <c r="AH34">
        <f t="shared" si="75"/>
        <v>1.000160690109134</v>
      </c>
      <c r="AI34">
        <f t="shared" si="76"/>
        <v>1.7925880414913203E-2</v>
      </c>
      <c r="AJ34" t="str">
        <f t="shared" si="56"/>
        <v>1+0.00034148191896664i</v>
      </c>
      <c r="AK34">
        <f t="shared" si="77"/>
        <v>1.0000000583049489</v>
      </c>
      <c r="AL34">
        <f t="shared" si="78"/>
        <v>3.4148190569325003E-4</v>
      </c>
      <c r="AM34" t="str">
        <f t="shared" si="57"/>
        <v>1-0.0000439678784969664i</v>
      </c>
      <c r="AN34">
        <f t="shared" si="79"/>
        <v>1.000000000966587</v>
      </c>
      <c r="AO34">
        <f t="shared" si="80"/>
        <v>-4.3967878468633876E-5</v>
      </c>
      <c r="AP34" s="41" t="str">
        <f t="shared" si="81"/>
        <v>72.2728107575289-1.27418357876929i</v>
      </c>
      <c r="AQ34">
        <f t="shared" si="82"/>
        <v>37.180848583744492</v>
      </c>
      <c r="AR34" s="43">
        <f t="shared" si="83"/>
        <v>-1.0100309937248362</v>
      </c>
      <c r="AS34" t="str">
        <f t="shared" si="58"/>
        <v>-0.0000166666666666667</v>
      </c>
      <c r="AT34" t="str">
        <f t="shared" si="59"/>
        <v>3.08786841618771E-07i</v>
      </c>
      <c r="AU34">
        <f t="shared" si="84"/>
        <v>3.0878684161877099E-7</v>
      </c>
      <c r="AV34">
        <f t="shared" si="85"/>
        <v>1.5707963267948966</v>
      </c>
      <c r="AW34" t="str">
        <f t="shared" si="60"/>
        <v>1+0.000308519724973772i</v>
      </c>
      <c r="AX34">
        <f t="shared" si="86"/>
        <v>1.0000000475922093</v>
      </c>
      <c r="AY34">
        <f t="shared" si="87"/>
        <v>3.0851971518501542E-4</v>
      </c>
      <c r="AZ34" t="str">
        <f t="shared" si="61"/>
        <v>1+0.0104896706491082i</v>
      </c>
      <c r="BA34">
        <f t="shared" si="88"/>
        <v>1.0000550150818337</v>
      </c>
      <c r="BB34">
        <f t="shared" si="89"/>
        <v>1.0489285937197529E-2</v>
      </c>
      <c r="BC34" s="41" t="str">
        <f t="shared" si="90"/>
        <v>-0.549524169147146+53.9748356203269i</v>
      </c>
      <c r="BD34">
        <f t="shared" si="91"/>
        <v>34.644276712724157</v>
      </c>
      <c r="BE34" s="43">
        <f t="shared" si="92"/>
        <v>90.583314936730659</v>
      </c>
      <c r="BF34" s="41" t="str">
        <f t="shared" si="93"/>
        <v>12.4819188763453+1058.69131463352i</v>
      </c>
      <c r="BG34" s="20">
        <f t="shared" si="94"/>
        <v>60.49599064415073</v>
      </c>
      <c r="BH34" s="43">
        <f t="shared" si="95"/>
        <v>89.324516855659837</v>
      </c>
      <c r="BI34" s="41" t="str">
        <f t="shared" si="96"/>
        <v>29.0581929307323+3901.61327512908i</v>
      </c>
      <c r="BJ34" s="20">
        <f t="shared" si="97"/>
        <v>71.825125296468656</v>
      </c>
      <c r="BK34" s="43">
        <f t="shared" si="98"/>
        <v>89.573283943005833</v>
      </c>
      <c r="BL34">
        <f t="shared" si="99"/>
        <v>60.49599064415073</v>
      </c>
      <c r="BM34" s="43">
        <f t="shared" si="100"/>
        <v>89.324516855659837</v>
      </c>
    </row>
    <row r="35" spans="1:65" x14ac:dyDescent="0.25">
      <c r="A35" t="s">
        <v>495</v>
      </c>
      <c r="B35">
        <f>1/((0.5-(1-(VIN_var/VOUT)))*(R_cs*Acs/(Lm*Fsw))+(Vsl*Acs/VOUT))</f>
        <v>45.528455284552855</v>
      </c>
      <c r="E35" t="s">
        <v>497</v>
      </c>
      <c r="N35" s="9">
        <v>17</v>
      </c>
      <c r="O35" s="34">
        <f t="shared" si="62"/>
        <v>14.791083881682074</v>
      </c>
      <c r="P35" s="33" t="str">
        <f t="shared" si="50"/>
        <v>19.6196196196196</v>
      </c>
      <c r="Q35" s="4" t="str">
        <f t="shared" si="63"/>
        <v>1+0.0224956018677773i</v>
      </c>
      <c r="R35" s="4">
        <f t="shared" si="64"/>
        <v>1.0002529940487024</v>
      </c>
      <c r="S35" s="4">
        <f t="shared" si="65"/>
        <v>2.2491808370654256E-2</v>
      </c>
      <c r="T35" s="4" t="str">
        <f t="shared" si="51"/>
        <v>1+0.000349436054669147i</v>
      </c>
      <c r="U35" s="4">
        <f t="shared" si="66"/>
        <v>1.0000000610527764</v>
      </c>
      <c r="V35" s="4">
        <f t="shared" si="67"/>
        <v>3.4943604044645343E-4</v>
      </c>
      <c r="W35" t="str">
        <f t="shared" si="52"/>
        <v>1-0.000203295577018287i</v>
      </c>
      <c r="X35" s="4">
        <f t="shared" si="68"/>
        <v>1.0000000206645456</v>
      </c>
      <c r="Y35" s="4">
        <f t="shared" si="69"/>
        <v>-2.0329557421761322E-4</v>
      </c>
      <c r="Z35" t="str">
        <f t="shared" si="53"/>
        <v>0.999999999781224+0.000136083569922445i</v>
      </c>
      <c r="AA35" s="4">
        <f t="shared" si="70"/>
        <v>1.0000000090405929</v>
      </c>
      <c r="AB35" s="4">
        <f t="shared" si="71"/>
        <v>1.3608356911218482E-4</v>
      </c>
      <c r="AC35" s="47" t="str">
        <f t="shared" si="72"/>
        <v>19.609701952261-0.440934735353519i</v>
      </c>
      <c r="AD35" s="20">
        <f t="shared" si="73"/>
        <v>25.851615093413368</v>
      </c>
      <c r="AE35" s="43">
        <f t="shared" si="74"/>
        <v>-1.2881094754957225</v>
      </c>
      <c r="AF35" t="str">
        <f t="shared" si="54"/>
        <v>72.2956529813786</v>
      </c>
      <c r="AG35" t="str">
        <f t="shared" si="55"/>
        <v>1+0.0183453928701302i</v>
      </c>
      <c r="AH35">
        <f t="shared" si="75"/>
        <v>1.0001682625636346</v>
      </c>
      <c r="AI35">
        <f t="shared" si="76"/>
        <v>1.8343335217263473E-2</v>
      </c>
      <c r="AJ35" t="str">
        <f t="shared" si="56"/>
        <v>1+0.000349436054669147i</v>
      </c>
      <c r="AK35">
        <f t="shared" si="77"/>
        <v>1.0000000610527764</v>
      </c>
      <c r="AL35">
        <f t="shared" si="78"/>
        <v>3.4943604044645343E-4</v>
      </c>
      <c r="AM35" t="str">
        <f t="shared" si="57"/>
        <v>1-0.0000449920219513973i</v>
      </c>
      <c r="AN35">
        <f t="shared" si="79"/>
        <v>1.000000001012141</v>
      </c>
      <c r="AO35">
        <f t="shared" si="80"/>
        <v>-4.4992021921038456E-5</v>
      </c>
      <c r="AP35" s="41" t="str">
        <f t="shared" si="81"/>
        <v>72.2717345988695-1.30384338448043i</v>
      </c>
      <c r="AQ35">
        <f t="shared" si="82"/>
        <v>37.180782845319825</v>
      </c>
      <c r="AR35" s="43">
        <f t="shared" si="83"/>
        <v>-1.033552332783378</v>
      </c>
      <c r="AS35" t="str">
        <f t="shared" si="58"/>
        <v>-0.0000166666666666667</v>
      </c>
      <c r="AT35" t="str">
        <f t="shared" si="59"/>
        <v>3.15979411136995E-07i</v>
      </c>
      <c r="AU35">
        <f t="shared" si="84"/>
        <v>3.1597941113699501E-7</v>
      </c>
      <c r="AV35">
        <f t="shared" si="85"/>
        <v>1.5707963267948966</v>
      </c>
      <c r="AW35" t="str">
        <f t="shared" si="60"/>
        <v>1+0.000315706072546046i</v>
      </c>
      <c r="AX35">
        <f t="shared" si="86"/>
        <v>1.0000000498351609</v>
      </c>
      <c r="AY35">
        <f t="shared" si="87"/>
        <v>3.1570606205720444E-4</v>
      </c>
      <c r="AZ35" t="str">
        <f t="shared" si="61"/>
        <v>1+0.0107340064665656i</v>
      </c>
      <c r="BA35">
        <f t="shared" si="88"/>
        <v>1.0000576077880836</v>
      </c>
      <c r="BB35">
        <f t="shared" si="89"/>
        <v>1.0733594241608848E-2</v>
      </c>
      <c r="BC35" s="41" t="str">
        <f t="shared" si="90"/>
        <v>-0.549524166682038+52.7462261714058i</v>
      </c>
      <c r="BD35">
        <f t="shared" si="91"/>
        <v>34.444299211934435</v>
      </c>
      <c r="BE35" s="43">
        <f t="shared" si="92"/>
        <v>90.596901024127533</v>
      </c>
      <c r="BF35" s="41" t="str">
        <f t="shared" si="93"/>
        <v>12.4816381535863+1034.58007862082i</v>
      </c>
      <c r="BG35" s="20">
        <f t="shared" si="94"/>
        <v>60.295914305347786</v>
      </c>
      <c r="BH35" s="43">
        <f t="shared" si="95"/>
        <v>89.308791548631817</v>
      </c>
      <c r="BI35" s="41" t="str">
        <f t="shared" si="96"/>
        <v>29.0577533197868+3812.77775240112i</v>
      </c>
      <c r="BJ35" s="20">
        <f t="shared" si="97"/>
        <v>71.625082057254247</v>
      </c>
      <c r="BK35" s="43">
        <f t="shared" si="98"/>
        <v>89.56334869134416</v>
      </c>
      <c r="BL35">
        <f t="shared" si="99"/>
        <v>60.295914305347786</v>
      </c>
      <c r="BM35" s="43">
        <f t="shared" si="100"/>
        <v>89.308791548631817</v>
      </c>
    </row>
    <row r="36" spans="1:65" x14ac:dyDescent="0.25">
      <c r="A36" t="s">
        <v>496</v>
      </c>
      <c r="B36">
        <f>2+((VOUT*((VIN_var/VOUT)^2))/(IOUT_VAR*R_cs*Acs))*((1/Km)+(Kex/(VIN_var/VOUT)))</f>
        <v>2.7183673469387752</v>
      </c>
      <c r="E36" t="s">
        <v>497</v>
      </c>
      <c r="N36" s="9">
        <v>18</v>
      </c>
      <c r="O36" s="34">
        <f t="shared" si="62"/>
        <v>15.135612484362087</v>
      </c>
      <c r="P36" s="33" t="str">
        <f t="shared" si="50"/>
        <v>19.6196196196196</v>
      </c>
      <c r="Q36" s="4" t="str">
        <f t="shared" si="63"/>
        <v>1+0.0230195917484344i</v>
      </c>
      <c r="R36" s="4">
        <f t="shared" si="64"/>
        <v>1.000264915711965</v>
      </c>
      <c r="S36" s="4">
        <f t="shared" si="65"/>
        <v>2.3015527001173475E-2</v>
      </c>
      <c r="T36" s="4" t="str">
        <f t="shared" si="51"/>
        <v>1+0.000357575465993173i</v>
      </c>
      <c r="U36" s="4">
        <f t="shared" si="66"/>
        <v>1.000000063930105</v>
      </c>
      <c r="V36" s="4">
        <f t="shared" si="67"/>
        <v>3.5757545075328231E-4</v>
      </c>
      <c r="W36" t="str">
        <f t="shared" si="52"/>
        <v>1-0.000208030939324486i</v>
      </c>
      <c r="X36" s="4">
        <f t="shared" si="68"/>
        <v>1.0000000216384355</v>
      </c>
      <c r="Y36" s="4">
        <f t="shared" si="69"/>
        <v>-2.0803093632350999E-4</v>
      </c>
      <c r="Z36" t="str">
        <f t="shared" si="53"/>
        <v>0.999999999770913+0.000139253363466186i</v>
      </c>
      <c r="AA36" s="4">
        <f t="shared" si="70"/>
        <v>1.0000000094666626</v>
      </c>
      <c r="AB36" s="4">
        <f t="shared" si="71"/>
        <v>1.3925336259797664E-4</v>
      </c>
      <c r="AC36" s="47" t="str">
        <f t="shared" si="72"/>
        <v>19.6092347945457-0.451194670969889i</v>
      </c>
      <c r="AD36" s="20">
        <f t="shared" si="73"/>
        <v>25.851511599720311</v>
      </c>
      <c r="AE36" s="43">
        <f t="shared" si="74"/>
        <v>-1.3181029208703432</v>
      </c>
      <c r="AF36" t="str">
        <f t="shared" si="54"/>
        <v>72.2956529813786</v>
      </c>
      <c r="AG36" t="str">
        <f t="shared" si="55"/>
        <v>1+0.0187727119646416i</v>
      </c>
      <c r="AH36">
        <f t="shared" si="75"/>
        <v>1.0001761918354721</v>
      </c>
      <c r="AI36">
        <f t="shared" si="76"/>
        <v>1.8770507170848043E-2</v>
      </c>
      <c r="AJ36" t="str">
        <f t="shared" si="56"/>
        <v>1+0.000357575465993173i</v>
      </c>
      <c r="AK36">
        <f t="shared" si="77"/>
        <v>1.000000063930105</v>
      </c>
      <c r="AL36">
        <f t="shared" si="78"/>
        <v>3.5757545075328231E-4</v>
      </c>
      <c r="AM36" t="str">
        <f t="shared" si="57"/>
        <v>1-0.0000460400207714068i</v>
      </c>
      <c r="AN36">
        <f t="shared" si="79"/>
        <v>1.0000000010598418</v>
      </c>
      <c r="AO36">
        <f t="shared" si="80"/>
        <v>-4.6040020738876707E-5</v>
      </c>
      <c r="AP36" s="41" t="str">
        <f t="shared" si="81"/>
        <v>72.2706077573457-1.33419264449909i</v>
      </c>
      <c r="AQ36">
        <f t="shared" si="82"/>
        <v>37.180714009805939</v>
      </c>
      <c r="AR36" s="43">
        <f t="shared" si="83"/>
        <v>-1.05762117490102</v>
      </c>
      <c r="AS36" t="str">
        <f t="shared" si="58"/>
        <v>-0.0000166666666666667</v>
      </c>
      <c r="AT36" t="str">
        <f t="shared" si="59"/>
        <v>3.23339517121486E-07i</v>
      </c>
      <c r="AU36">
        <f t="shared" si="84"/>
        <v>3.23339517121486E-7</v>
      </c>
      <c r="AV36">
        <f t="shared" si="85"/>
        <v>1.5707963267948966</v>
      </c>
      <c r="AW36" t="str">
        <f t="shared" si="60"/>
        <v>1+0.000323059811656849i</v>
      </c>
      <c r="AX36">
        <f t="shared" si="86"/>
        <v>1.0000000521838195</v>
      </c>
      <c r="AY36">
        <f t="shared" si="87"/>
        <v>3.2305980041785276E-4</v>
      </c>
      <c r="AZ36" t="str">
        <f t="shared" si="61"/>
        <v>1+0.0109840335963328i</v>
      </c>
      <c r="BA36">
        <f t="shared" si="88"/>
        <v>1.0000603226776099</v>
      </c>
      <c r="BB36">
        <f t="shared" si="89"/>
        <v>1.0983591890772505E-2</v>
      </c>
      <c r="BC36" s="41" t="str">
        <f t="shared" si="90"/>
        <v>-0.549524164100744+51.5455834697794i</v>
      </c>
      <c r="BD36">
        <f t="shared" si="91"/>
        <v>34.244322771374655</v>
      </c>
      <c r="BE36" s="43">
        <f t="shared" si="92"/>
        <v>90.610803496141088</v>
      </c>
      <c r="BF36" s="41" t="str">
        <f t="shared" si="93"/>
        <v>12.4813442144701+1011.01739125517i</v>
      </c>
      <c r="BG36" s="20">
        <f t="shared" si="94"/>
        <v>60.095834371094973</v>
      </c>
      <c r="BH36" s="43">
        <f t="shared" si="95"/>
        <v>89.292700575270757</v>
      </c>
      <c r="BI36" s="41" t="str">
        <f t="shared" si="96"/>
        <v>29.0572930048854+3725.96381566567i</v>
      </c>
      <c r="BJ36" s="20">
        <f t="shared" si="97"/>
        <v>71.425036781180594</v>
      </c>
      <c r="BK36" s="43">
        <f t="shared" si="98"/>
        <v>89.553182321240087</v>
      </c>
      <c r="BL36">
        <f t="shared" si="99"/>
        <v>60.095834371094973</v>
      </c>
      <c r="BM36" s="43">
        <f t="shared" si="100"/>
        <v>89.292700575270757</v>
      </c>
    </row>
    <row r="37" spans="1:65" x14ac:dyDescent="0.25">
      <c r="N37" s="9">
        <v>19</v>
      </c>
      <c r="O37" s="34">
        <f t="shared" si="62"/>
        <v>15.488166189124817</v>
      </c>
      <c r="P37" s="33" t="str">
        <f t="shared" si="50"/>
        <v>19.6196196196196</v>
      </c>
      <c r="Q37" s="4" t="str">
        <f t="shared" si="63"/>
        <v>1+0.0235557869213368i</v>
      </c>
      <c r="R37" s="4">
        <f t="shared" si="64"/>
        <v>1.0002773990736187</v>
      </c>
      <c r="S37" s="4">
        <f t="shared" si="65"/>
        <v>2.3551431531408564E-2</v>
      </c>
      <c r="T37" s="4" t="str">
        <f t="shared" si="51"/>
        <v>1+0.000365904468562339i</v>
      </c>
      <c r="U37" s="4">
        <f t="shared" si="66"/>
        <v>1.0000000669430378</v>
      </c>
      <c r="V37" s="4">
        <f t="shared" si="67"/>
        <v>3.65904452232502E-4</v>
      </c>
      <c r="W37" t="str">
        <f t="shared" si="52"/>
        <v>1-0.000212876602388329i</v>
      </c>
      <c r="X37" s="4">
        <f t="shared" si="68"/>
        <v>1.0000000226582237</v>
      </c>
      <c r="Y37" s="4">
        <f t="shared" si="69"/>
        <v>-2.1287659917272527E-4</v>
      </c>
      <c r="Z37" t="str">
        <f t="shared" si="53"/>
        <v>0.999999999760117+0.000142496990986473i</v>
      </c>
      <c r="AA37" s="4">
        <f t="shared" si="70"/>
        <v>1.0000000099128132</v>
      </c>
      <c r="AB37" s="4">
        <f t="shared" si="71"/>
        <v>1.4249699005616985E-4</v>
      </c>
      <c r="AC37" s="47" t="str">
        <f t="shared" si="72"/>
        <v>19.6087456442353-0.461692822647441i</v>
      </c>
      <c r="AD37" s="20">
        <f t="shared" si="73"/>
        <v>25.85140323116461</v>
      </c>
      <c r="AE37" s="43">
        <f t="shared" si="74"/>
        <v>-1.3487942542363056</v>
      </c>
      <c r="AF37" t="str">
        <f t="shared" si="54"/>
        <v>72.2956529813786</v>
      </c>
      <c r="AG37" t="str">
        <f t="shared" si="55"/>
        <v>1+0.0192099845995228i</v>
      </c>
      <c r="AH37">
        <f t="shared" si="75"/>
        <v>1.0001844947350034</v>
      </c>
      <c r="AI37">
        <f t="shared" si="76"/>
        <v>1.9207622143944541E-2</v>
      </c>
      <c r="AJ37" t="str">
        <f t="shared" si="56"/>
        <v>1+0.000365904468562339i</v>
      </c>
      <c r="AK37">
        <f t="shared" si="77"/>
        <v>1.0000000669430378</v>
      </c>
      <c r="AL37">
        <f t="shared" si="78"/>
        <v>3.65904452232502E-4</v>
      </c>
      <c r="AM37" t="str">
        <f t="shared" si="57"/>
        <v>1-0.0000471124306198409i</v>
      </c>
      <c r="AN37">
        <f t="shared" si="79"/>
        <v>1.0000000011097905</v>
      </c>
      <c r="AO37">
        <f t="shared" si="80"/>
        <v>-4.7112430584984279E-5</v>
      </c>
      <c r="AP37" s="41" t="str">
        <f t="shared" si="81"/>
        <v>72.2694278477158-1.36524731742263i</v>
      </c>
      <c r="AQ37">
        <f t="shared" si="82"/>
        <v>37.180641931344447</v>
      </c>
      <c r="AR37" s="43">
        <f t="shared" si="83"/>
        <v>-1.0822502459472001</v>
      </c>
      <c r="AS37" t="str">
        <f t="shared" si="58"/>
        <v>-0.0000166666666666667</v>
      </c>
      <c r="AT37" t="str">
        <f t="shared" si="59"/>
        <v>3.3087106199786E-07i</v>
      </c>
      <c r="AU37">
        <f t="shared" si="84"/>
        <v>3.3087106199786001E-7</v>
      </c>
      <c r="AV37">
        <f t="shared" si="85"/>
        <v>1.5707963267948966</v>
      </c>
      <c r="AW37" t="str">
        <f t="shared" si="60"/>
        <v>1+0.000330584841355994i</v>
      </c>
      <c r="AX37">
        <f t="shared" si="86"/>
        <v>1.0000000546431671</v>
      </c>
      <c r="AY37">
        <f t="shared" si="87"/>
        <v>3.3058482931319264E-4</v>
      </c>
      <c r="AZ37" t="str">
        <f t="shared" si="61"/>
        <v>1+0.0112398846061038i</v>
      </c>
      <c r="BA37">
        <f t="shared" si="88"/>
        <v>1.0000631655080385</v>
      </c>
      <c r="BB37">
        <f t="shared" si="89"/>
        <v>1.1239411311683245E-2</v>
      </c>
      <c r="BC37" s="41" t="str">
        <f t="shared" si="90"/>
        <v>-0.549524161397806+50.3722709187951i</v>
      </c>
      <c r="BD37">
        <f t="shared" si="91"/>
        <v>34.044347440999879</v>
      </c>
      <c r="BE37" s="43">
        <f t="shared" si="92"/>
        <v>90.625029716880348</v>
      </c>
      <c r="BF37" s="41" t="str">
        <f t="shared" si="93"/>
        <v>12.4810364374488+987.990759330353i</v>
      </c>
      <c r="BG37" s="20">
        <f t="shared" si="94"/>
        <v>59.895750672164496</v>
      </c>
      <c r="BH37" s="43">
        <f t="shared" si="95"/>
        <v>89.276235462644053</v>
      </c>
      <c r="BI37" s="41" t="str">
        <f t="shared" si="96"/>
        <v>29.0568110116557+3641.12543507866i</v>
      </c>
      <c r="BJ37" s="20">
        <f t="shared" si="97"/>
        <v>71.224989372344311</v>
      </c>
      <c r="BK37" s="43">
        <f t="shared" si="98"/>
        <v>89.542779470933155</v>
      </c>
      <c r="BL37">
        <f t="shared" si="99"/>
        <v>59.895750672164496</v>
      </c>
      <c r="BM37" s="43">
        <f t="shared" si="100"/>
        <v>89.276235462644053</v>
      </c>
    </row>
    <row r="38" spans="1:65" x14ac:dyDescent="0.25">
      <c r="A38" t="s">
        <v>200</v>
      </c>
      <c r="B38" s="16">
        <f>(Gcomp*(VIN_var/VOUT)*(VOUT/IOUT))/(Kd*R_cs*Acs/Np)</f>
        <v>19.61961961961962</v>
      </c>
      <c r="C38" t="s">
        <v>150</v>
      </c>
      <c r="E38" t="s">
        <v>204</v>
      </c>
      <c r="N38" s="9">
        <v>20</v>
      </c>
      <c r="O38" s="34">
        <f t="shared" si="62"/>
        <v>15.848931924611136</v>
      </c>
      <c r="P38" s="33" t="str">
        <f t="shared" si="50"/>
        <v>19.6196196196196</v>
      </c>
      <c r="Q38" s="4" t="str">
        <f t="shared" si="63"/>
        <v>1+0.0241044716842626i</v>
      </c>
      <c r="R38" s="4">
        <f t="shared" si="64"/>
        <v>1.0002904705910065</v>
      </c>
      <c r="S38" s="4">
        <f t="shared" si="65"/>
        <v>2.409980487306234E-2</v>
      </c>
      <c r="T38" s="4" t="str">
        <f t="shared" si="51"/>
        <v>1+0.000374427478524055i</v>
      </c>
      <c r="U38" s="4">
        <f t="shared" si="66"/>
        <v>1.0000000700979659</v>
      </c>
      <c r="V38" s="4">
        <f t="shared" si="67"/>
        <v>3.7442746102631943E-4</v>
      </c>
      <c r="W38" t="str">
        <f t="shared" si="52"/>
        <v>1-0.000217835135444514i</v>
      </c>
      <c r="X38" s="4">
        <f t="shared" si="68"/>
        <v>1.0000000237260729</v>
      </c>
      <c r="Y38" s="4">
        <f t="shared" si="69"/>
        <v>-2.1783513199893253E-4</v>
      </c>
      <c r="Z38" t="str">
        <f t="shared" si="53"/>
        <v>0.999999999748811+0.000145816172297552i</v>
      </c>
      <c r="AA38" s="4">
        <f t="shared" si="70"/>
        <v>1.0000000103799889</v>
      </c>
      <c r="AB38" s="4">
        <f t="shared" si="71"/>
        <v>1.4581617130071428E-4</v>
      </c>
      <c r="AC38" s="47" t="str">
        <f t="shared" si="72"/>
        <v>19.6082334671517-0.472434684254173i</v>
      </c>
      <c r="AD38" s="20">
        <f t="shared" si="73"/>
        <v>25.851289758256119</v>
      </c>
      <c r="AE38" s="43">
        <f t="shared" si="74"/>
        <v>-1.3801996779581838</v>
      </c>
      <c r="AF38" t="str">
        <f t="shared" si="54"/>
        <v>72.2956529813786</v>
      </c>
      <c r="AG38" t="str">
        <f t="shared" si="55"/>
        <v>1+0.0196574426225129i</v>
      </c>
      <c r="AH38">
        <f t="shared" si="75"/>
        <v>1.0001931888642601</v>
      </c>
      <c r="AI38">
        <f t="shared" si="76"/>
        <v>1.9654911232159771E-2</v>
      </c>
      <c r="AJ38" t="str">
        <f t="shared" si="56"/>
        <v>1+0.000374427478524055i</v>
      </c>
      <c r="AK38">
        <f t="shared" si="77"/>
        <v>1.0000000700979659</v>
      </c>
      <c r="AL38">
        <f t="shared" si="78"/>
        <v>3.7442746102631943E-4</v>
      </c>
      <c r="AM38" t="str">
        <f t="shared" si="57"/>
        <v>1-0.0000482098201025964i</v>
      </c>
      <c r="AN38">
        <f t="shared" si="79"/>
        <v>1.0000000011620933</v>
      </c>
      <c r="AO38">
        <f t="shared" si="80"/>
        <v>-4.8209820065246862E-5</v>
      </c>
      <c r="AP38" s="41" t="str">
        <f t="shared" si="81"/>
        <v>72.2681923726499-1.39702372636845i</v>
      </c>
      <c r="AQ38">
        <f t="shared" si="82"/>
        <v>37.180566457212798</v>
      </c>
      <c r="AR38" s="43">
        <f t="shared" si="83"/>
        <v>-1.1074525662772445</v>
      </c>
      <c r="AS38" t="str">
        <f t="shared" si="58"/>
        <v>-0.0000166666666666667</v>
      </c>
      <c r="AT38" t="str">
        <f t="shared" si="59"/>
        <v>3.38578039090901E-07i</v>
      </c>
      <c r="AU38">
        <f t="shared" si="84"/>
        <v>3.3857803909090102E-7</v>
      </c>
      <c r="AV38">
        <f t="shared" si="85"/>
        <v>1.5707963267948966</v>
      </c>
      <c r="AW38" t="str">
        <f t="shared" si="60"/>
        <v>1+0.000338285151513833i</v>
      </c>
      <c r="AX38">
        <f t="shared" si="86"/>
        <v>1.0000000572184202</v>
      </c>
      <c r="AY38">
        <f t="shared" si="87"/>
        <v>3.3828513860973888E-4</v>
      </c>
      <c r="AZ38" t="str">
        <f t="shared" si="61"/>
        <v>1+0.0115016951514703i</v>
      </c>
      <c r="BA38">
        <f t="shared" si="88"/>
        <v>1.0000661423082762</v>
      </c>
      <c r="BB38">
        <f t="shared" si="89"/>
        <v>1.1501188009173135E-2</v>
      </c>
      <c r="BC38" s="41" t="str">
        <f t="shared" si="90"/>
        <v>-0.549524158567478+49.2256664126078i</v>
      </c>
      <c r="BD38">
        <f t="shared" si="91"/>
        <v>33.844373273118279</v>
      </c>
      <c r="BE38" s="43">
        <f t="shared" si="92"/>
        <v>90.63958722159775</v>
      </c>
      <c r="BF38" s="41" t="str">
        <f t="shared" si="93"/>
        <v>12.4807141718104+965.487973866885i</v>
      </c>
      <c r="BG38" s="20">
        <f t="shared" si="94"/>
        <v>59.695663031374409</v>
      </c>
      <c r="BH38" s="43">
        <f t="shared" si="95"/>
        <v>89.259387543639576</v>
      </c>
      <c r="BI38" s="41" t="str">
        <f t="shared" si="96"/>
        <v>29.0563063199385+3558.21762826596i</v>
      </c>
      <c r="BJ38" s="20">
        <f t="shared" si="97"/>
        <v>71.02493973033107</v>
      </c>
      <c r="BK38" s="43">
        <f t="shared" si="98"/>
        <v>89.532134655320519</v>
      </c>
      <c r="BL38">
        <f t="shared" si="99"/>
        <v>59.695663031374409</v>
      </c>
      <c r="BM38" s="43">
        <f t="shared" si="100"/>
        <v>89.259387543639576</v>
      </c>
    </row>
    <row r="39" spans="1:65" x14ac:dyDescent="0.25">
      <c r="A39" t="s">
        <v>217</v>
      </c>
      <c r="B39" s="18">
        <f>Kd/(Cout*(VOUT/IOUT_VAR))</f>
        <v>4131.2573661683518</v>
      </c>
      <c r="C39" t="s">
        <v>216</v>
      </c>
      <c r="E39" t="s">
        <v>207</v>
      </c>
      <c r="N39" s="9">
        <v>21</v>
      </c>
      <c r="O39" s="34">
        <f t="shared" si="62"/>
        <v>16.218100973589298</v>
      </c>
      <c r="P39" s="33" t="str">
        <f t="shared" si="50"/>
        <v>19.6196196196196</v>
      </c>
      <c r="Q39" s="4" t="str">
        <f t="shared" si="63"/>
        <v>1+0.0246659369571357i</v>
      </c>
      <c r="R39" s="4">
        <f t="shared" si="64"/>
        <v>1.0003041579669523</v>
      </c>
      <c r="S39" s="4">
        <f t="shared" si="65"/>
        <v>2.4660936460957756E-2</v>
      </c>
      <c r="T39" s="4" t="str">
        <f t="shared" si="51"/>
        <v>1+0.000383149014891017i</v>
      </c>
      <c r="U39" s="4">
        <f t="shared" si="66"/>
        <v>1.000000073401581</v>
      </c>
      <c r="V39" s="4">
        <f t="shared" si="67"/>
        <v>3.8314899614185567E-4</v>
      </c>
      <c r="W39" t="str">
        <f t="shared" si="52"/>
        <v>1-0.000222909167572899i</v>
      </c>
      <c r="X39" s="4">
        <f t="shared" si="68"/>
        <v>1.0000000248442482</v>
      </c>
      <c r="Y39" s="4">
        <f t="shared" si="69"/>
        <v>-2.2290916388089193E-4</v>
      </c>
      <c r="Z39" t="str">
        <f t="shared" si="53"/>
        <v>0.999999999736973+0.000149212667273287i</v>
      </c>
      <c r="AA39" s="4">
        <f t="shared" si="70"/>
        <v>1.0000000108691829</v>
      </c>
      <c r="AB39" s="4">
        <f t="shared" si="71"/>
        <v>1.4921266620515614E-4</v>
      </c>
      <c r="AC39" s="47" t="str">
        <f t="shared" si="72"/>
        <v>19.6076971805989-0.483425873708864i</v>
      </c>
      <c r="AD39" s="20">
        <f t="shared" si="73"/>
        <v>25.85117094071359</v>
      </c>
      <c r="AE39" s="43">
        <f t="shared" si="74"/>
        <v>-1.4123357679781832</v>
      </c>
      <c r="AF39" t="str">
        <f t="shared" si="54"/>
        <v>72.2956529813786</v>
      </c>
      <c r="AG39" t="str">
        <f t="shared" si="55"/>
        <v>1+0.0201153232817784i</v>
      </c>
      <c r="AH39">
        <f t="shared" si="75"/>
        <v>1.0002022926542062</v>
      </c>
      <c r="AI39">
        <f t="shared" si="76"/>
        <v>2.011261087777403E-2</v>
      </c>
      <c r="AJ39" t="str">
        <f t="shared" si="56"/>
        <v>1+0.000383149014891017i</v>
      </c>
      <c r="AK39">
        <f t="shared" si="77"/>
        <v>1.000000073401581</v>
      </c>
      <c r="AL39">
        <f t="shared" si="78"/>
        <v>3.8314899614185567E-4</v>
      </c>
      <c r="AM39" t="str">
        <f t="shared" si="57"/>
        <v>1-0.0000493327710701026i</v>
      </c>
      <c r="AN39">
        <f t="shared" si="79"/>
        <v>1.0000000012168611</v>
      </c>
      <c r="AO39">
        <f t="shared" si="80"/>
        <v>-4.9332771030081844E-5</v>
      </c>
      <c r="AP39" s="41" t="str">
        <f t="shared" si="81"/>
        <v>72.2668987174788-1.4295385669508i</v>
      </c>
      <c r="AQ39">
        <f t="shared" si="82"/>
        <v>37.180487427501745</v>
      </c>
      <c r="AR39" s="43">
        <f t="shared" si="83"/>
        <v>-1.1332414574534693</v>
      </c>
      <c r="AS39" t="str">
        <f t="shared" si="58"/>
        <v>-0.0000166666666666667</v>
      </c>
      <c r="AT39" t="str">
        <f t="shared" si="59"/>
        <v>3.46464534741878E-07i</v>
      </c>
      <c r="AU39">
        <f t="shared" si="84"/>
        <v>3.4646453474187802E-7</v>
      </c>
      <c r="AV39">
        <f t="shared" si="85"/>
        <v>1.5707963267948966</v>
      </c>
      <c r="AW39" t="str">
        <f t="shared" si="60"/>
        <v>1+0.000346164824936738i</v>
      </c>
      <c r="AX39">
        <f t="shared" si="86"/>
        <v>1.0000000599150412</v>
      </c>
      <c r="AY39">
        <f t="shared" si="87"/>
        <v>3.4616481110975205E-4</v>
      </c>
      <c r="AZ39" t="str">
        <f t="shared" si="61"/>
        <v>1+0.0117696040478491i</v>
      </c>
      <c r="BA39">
        <f t="shared" si="88"/>
        <v>1.0000692593912899</v>
      </c>
      <c r="BB39">
        <f t="shared" si="89"/>
        <v>1.1769060637119725E-2</v>
      </c>
      <c r="BC39" s="41" t="str">
        <f t="shared" si="90"/>
        <v>-0.549524155603761+48.1051620063309i</v>
      </c>
      <c r="BD39">
        <f t="shared" si="91"/>
        <v>33.644400322501916</v>
      </c>
      <c r="BE39" s="43">
        <f t="shared" si="92"/>
        <v>90.654483720647974</v>
      </c>
      <c r="BF39" s="41" t="str">
        <f t="shared" si="93"/>
        <v>12.4803767363141+943.497103638835i</v>
      </c>
      <c r="BG39" s="20">
        <f t="shared" si="94"/>
        <v>59.49557126321551</v>
      </c>
      <c r="BH39" s="43">
        <f t="shared" si="95"/>
        <v>89.242147952669796</v>
      </c>
      <c r="BI39" s="41" t="str">
        <f t="shared" si="96"/>
        <v>29.0557778616413+3477.19643647333i</v>
      </c>
      <c r="BJ39" s="20">
        <f t="shared" si="97"/>
        <v>70.824887750003654</v>
      </c>
      <c r="BK39" s="43">
        <f t="shared" si="98"/>
        <v>89.521242263194509</v>
      </c>
      <c r="BL39">
        <f t="shared" si="99"/>
        <v>59.49557126321551</v>
      </c>
      <c r="BM39" s="43">
        <f t="shared" si="100"/>
        <v>89.242147952669796</v>
      </c>
    </row>
    <row r="40" spans="1:65" x14ac:dyDescent="0.25">
      <c r="B40" s="17">
        <f>wp_lf/(2*PI())</f>
        <v>657.51003101049753</v>
      </c>
      <c r="C40" t="s">
        <v>65</v>
      </c>
      <c r="N40" s="9">
        <v>22</v>
      </c>
      <c r="O40" s="34">
        <f t="shared" si="62"/>
        <v>16.595869074375614</v>
      </c>
      <c r="P40" s="33" t="str">
        <f t="shared" si="50"/>
        <v>19.6196196196196</v>
      </c>
      <c r="Q40" s="4" t="str">
        <f t="shared" si="63"/>
        <v>1+0.0252404804362759i</v>
      </c>
      <c r="R40" s="4">
        <f t="shared" si="64"/>
        <v>1.0003184902083206</v>
      </c>
      <c r="S40" s="4">
        <f t="shared" si="65"/>
        <v>2.523512240021861E-2</v>
      </c>
      <c r="T40" s="4" t="str">
        <f t="shared" si="51"/>
        <v>1+0.000392073701937253i</v>
      </c>
      <c r="U40" s="4">
        <f t="shared" si="66"/>
        <v>1.000000076860891</v>
      </c>
      <c r="V40" s="4">
        <f t="shared" si="67"/>
        <v>3.9207368184716472E-4</v>
      </c>
      <c r="W40" t="str">
        <f t="shared" si="52"/>
        <v>1-0.000228101389092485i</v>
      </c>
      <c r="X40" s="4">
        <f t="shared" si="68"/>
        <v>1.0000000260151214</v>
      </c>
      <c r="Y40" s="4">
        <f t="shared" si="69"/>
        <v>-2.2810138513642815E-4</v>
      </c>
      <c r="Z40" t="str">
        <f t="shared" si="53"/>
        <v>0.999999999724577+0.000152688276780275i</v>
      </c>
      <c r="AA40" s="4">
        <f t="shared" si="70"/>
        <v>1.0000000113814318</v>
      </c>
      <c r="AB40" s="4">
        <f t="shared" si="71"/>
        <v>1.5268827563575215E-4</v>
      </c>
      <c r="AC40" s="47" t="str">
        <f t="shared" si="72"/>
        <v>19.6071356510986-0.494672135591441i</v>
      </c>
      <c r="AD40" s="20">
        <f t="shared" si="73"/>
        <v>25.851046526958861</v>
      </c>
      <c r="AE40" s="43">
        <f t="shared" si="74"/>
        <v>-1.4452194822450406</v>
      </c>
      <c r="AF40" t="str">
        <f t="shared" si="54"/>
        <v>72.2956529813786</v>
      </c>
      <c r="AG40" t="str">
        <f t="shared" si="55"/>
        <v>1+0.0205838693517058i</v>
      </c>
      <c r="AH40">
        <f t="shared" si="75"/>
        <v>1.0002118254037433</v>
      </c>
      <c r="AI40">
        <f t="shared" si="76"/>
        <v>2.0580962991693905E-2</v>
      </c>
      <c r="AJ40" t="str">
        <f t="shared" si="56"/>
        <v>1+0.000392073701937253i</v>
      </c>
      <c r="AK40">
        <f t="shared" si="77"/>
        <v>1.000000076860891</v>
      </c>
      <c r="AL40">
        <f t="shared" si="78"/>
        <v>3.9207368184716472E-4</v>
      </c>
      <c r="AM40" t="str">
        <f t="shared" si="57"/>
        <v>1-0.0000504818789258269i</v>
      </c>
      <c r="AN40">
        <f t="shared" si="79"/>
        <v>1.0000000012742101</v>
      </c>
      <c r="AO40">
        <f t="shared" si="80"/>
        <v>-5.0481878882943887E-5</v>
      </c>
      <c r="AP40" s="41" t="str">
        <f t="shared" si="81"/>
        <v>72.2655441446976-1.46280891540667i</v>
      </c>
      <c r="AQ40">
        <f t="shared" si="82"/>
        <v>37.180404674777655</v>
      </c>
      <c r="AR40" s="43">
        <f t="shared" si="83"/>
        <v>-1.1596305491128844</v>
      </c>
      <c r="AS40" t="str">
        <f t="shared" si="58"/>
        <v>-0.0000166666666666667</v>
      </c>
      <c r="AT40" t="str">
        <f t="shared" si="59"/>
        <v>3.54534730475176E-07i</v>
      </c>
      <c r="AU40">
        <f t="shared" si="84"/>
        <v>3.54534730475176E-7</v>
      </c>
      <c r="AV40">
        <f t="shared" si="85"/>
        <v>1.5707963267948966</v>
      </c>
      <c r="AW40" t="str">
        <f t="shared" si="60"/>
        <v>1+0.000354228039531859i</v>
      </c>
      <c r="AX40">
        <f t="shared" si="86"/>
        <v>1.00000006273875</v>
      </c>
      <c r="AY40">
        <f t="shared" si="87"/>
        <v>3.5422802471597671E-4</v>
      </c>
      <c r="AZ40" t="str">
        <f t="shared" si="61"/>
        <v>1+0.0120437533440832i</v>
      </c>
      <c r="BA40">
        <f t="shared" si="88"/>
        <v>1.0000725233674872</v>
      </c>
      <c r="BB40">
        <f t="shared" si="89"/>
        <v>1.204317107127653E-2</v>
      </c>
      <c r="BC40" s="41" t="str">
        <f t="shared" si="90"/>
        <v>-0.549524152500369+47.0101635936968i</v>
      </c>
      <c r="BD40">
        <f t="shared" si="91"/>
        <v>33.44442864650285</v>
      </c>
      <c r="BE40" s="43">
        <f t="shared" si="92"/>
        <v>90.669727103536715</v>
      </c>
      <c r="BF40" s="41" t="str">
        <f t="shared" si="93"/>
        <v>12.4800234177673+922.006488848026i</v>
      </c>
      <c r="BG40" s="20">
        <f t="shared" si="94"/>
        <v>59.29547517346171</v>
      </c>
      <c r="BH40" s="43">
        <f t="shared" si="95"/>
        <v>89.224507621291664</v>
      </c>
      <c r="BI40" s="41" t="str">
        <f t="shared" si="96"/>
        <v>29.0552245184928+3398.01890125926i</v>
      </c>
      <c r="BJ40" s="20">
        <f t="shared" si="97"/>
        <v>70.624833321280505</v>
      </c>
      <c r="BK40" s="43">
        <f t="shared" si="98"/>
        <v>89.510096554423825</v>
      </c>
      <c r="BL40">
        <f t="shared" si="99"/>
        <v>59.29547517346171</v>
      </c>
      <c r="BM40" s="43">
        <f t="shared" si="100"/>
        <v>89.224507621291664</v>
      </c>
    </row>
    <row r="41" spans="1:65" x14ac:dyDescent="0.25">
      <c r="B41" s="1"/>
      <c r="C41" t="s">
        <v>237</v>
      </c>
      <c r="E41" t="s">
        <v>236</v>
      </c>
      <c r="N41" s="9">
        <v>23</v>
      </c>
      <c r="O41" s="34">
        <f t="shared" si="62"/>
        <v>16.982436524617448</v>
      </c>
      <c r="P41" s="33" t="str">
        <f t="shared" si="50"/>
        <v>19.6196196196196</v>
      </c>
      <c r="Q41" s="4" t="str">
        <f t="shared" si="63"/>
        <v>1+0.0258284067522405i</v>
      </c>
      <c r="R41" s="4">
        <f t="shared" si="64"/>
        <v>1.0003334976873259</v>
      </c>
      <c r="S41" s="4">
        <f t="shared" si="65"/>
        <v>2.5822665616537711E-2</v>
      </c>
      <c r="T41" s="4" t="str">
        <f t="shared" si="51"/>
        <v>1+0.000401206271649963i</v>
      </c>
      <c r="U41" s="4">
        <f t="shared" si="66"/>
        <v>1.000000080483233</v>
      </c>
      <c r="V41" s="4">
        <f t="shared" si="67"/>
        <v>4.0120625012304563E-4</v>
      </c>
      <c r="W41" t="str">
        <f t="shared" si="52"/>
        <v>1-0.000233414552987844i</v>
      </c>
      <c r="X41" s="4">
        <f t="shared" si="68"/>
        <v>1.0000000272411764</v>
      </c>
      <c r="Y41" s="4">
        <f t="shared" si="69"/>
        <v>-2.3341454874885274E-4</v>
      </c>
      <c r="Z41" t="str">
        <f t="shared" si="53"/>
        <v>0.999999999711597+0.000156244843632679i</v>
      </c>
      <c r="AA41" s="4">
        <f t="shared" si="70"/>
        <v>1.0000000119178225</v>
      </c>
      <c r="AB41" s="4">
        <f t="shared" si="71"/>
        <v>1.5624484240630063E-4</v>
      </c>
      <c r="AC41" s="47" t="str">
        <f t="shared" si="72"/>
        <v>19.6065476920193-0.506179343794227i</v>
      </c>
      <c r="AD41" s="20">
        <f t="shared" si="73"/>
        <v>25.850916253586611</v>
      </c>
      <c r="AE41" s="43">
        <f t="shared" si="74"/>
        <v>-1.4788681693197072</v>
      </c>
      <c r="AF41" t="str">
        <f t="shared" si="54"/>
        <v>72.2956529813786</v>
      </c>
      <c r="AG41" t="str">
        <f t="shared" si="55"/>
        <v>1+0.0210633292616231i</v>
      </c>
      <c r="AH41">
        <f t="shared" si="75"/>
        <v>1.000221807320548</v>
      </c>
      <c r="AI41">
        <f t="shared" si="76"/>
        <v>2.1060215078059916E-2</v>
      </c>
      <c r="AJ41" t="str">
        <f t="shared" si="56"/>
        <v>1+0.000401206271649963i</v>
      </c>
      <c r="AK41">
        <f t="shared" si="77"/>
        <v>1.000000080483233</v>
      </c>
      <c r="AL41">
        <f t="shared" si="78"/>
        <v>4.0120625012304563E-4</v>
      </c>
      <c r="AM41" t="str">
        <f t="shared" si="57"/>
        <v>1-0.000051657752941964i</v>
      </c>
      <c r="AN41">
        <f t="shared" si="79"/>
        <v>1.0000000013342616</v>
      </c>
      <c r="AO41">
        <f t="shared" si="80"/>
        <v>-5.1657752896014031E-5</v>
      </c>
      <c r="AP41" s="41" t="str">
        <f t="shared" si="81"/>
        <v>72.2641257882148-1.49685223687185i</v>
      </c>
      <c r="AQ41">
        <f t="shared" si="82"/>
        <v>37.180318023729072</v>
      </c>
      <c r="AR41" s="43">
        <f t="shared" si="83"/>
        <v>-1.1866337859843645</v>
      </c>
      <c r="AS41" t="str">
        <f t="shared" si="58"/>
        <v>-0.0000166666666666667</v>
      </c>
      <c r="AT41" t="str">
        <f t="shared" si="59"/>
        <v>3.62792905215393E-07i</v>
      </c>
      <c r="AU41">
        <f t="shared" si="84"/>
        <v>3.62792905215393E-7</v>
      </c>
      <c r="AV41">
        <f t="shared" si="85"/>
        <v>1.5707963267948966</v>
      </c>
      <c r="AW41" t="str">
        <f t="shared" si="60"/>
        <v>1+0.0003624790705223i</v>
      </c>
      <c r="AX41">
        <f t="shared" si="86"/>
        <v>1.0000000656955361</v>
      </c>
      <c r="AY41">
        <f t="shared" si="87"/>
        <v>3.6247905464679612E-4</v>
      </c>
      <c r="AZ41" t="str">
        <f t="shared" si="61"/>
        <v>1+0.0123242883977582i</v>
      </c>
      <c r="BA41">
        <f t="shared" si="88"/>
        <v>1.0000759411587257</v>
      </c>
      <c r="BB41">
        <f t="shared" si="89"/>
        <v>1.2323664483763708E-2</v>
      </c>
      <c r="BC41" s="41" t="str">
        <f t="shared" si="90"/>
        <v>-0.54952414925072+45.9400905920533i</v>
      </c>
      <c r="BD41">
        <f t="shared" si="91"/>
        <v>33.24445830517454</v>
      </c>
      <c r="BE41" s="43">
        <f t="shared" si="92"/>
        <v>90.685325443061771</v>
      </c>
      <c r="BF41" s="41" t="str">
        <f t="shared" si="93"/>
        <v>12.4796534695323+901.004734942047i</v>
      </c>
      <c r="BG41" s="20">
        <f t="shared" si="94"/>
        <v>59.095374558761151</v>
      </c>
      <c r="BH41" s="43">
        <f t="shared" si="95"/>
        <v>89.206457273742075</v>
      </c>
      <c r="BI41" s="41" t="str">
        <f t="shared" si="96"/>
        <v>29.0546451196947+3320.64304171814i</v>
      </c>
      <c r="BJ41" s="20">
        <f t="shared" si="97"/>
        <v>70.424776328903604</v>
      </c>
      <c r="BK41" s="43">
        <f t="shared" si="98"/>
        <v>89.498691657077416</v>
      </c>
      <c r="BL41">
        <f t="shared" si="99"/>
        <v>59.095374558761151</v>
      </c>
      <c r="BM41" s="43">
        <f t="shared" si="100"/>
        <v>89.206457273742075</v>
      </c>
    </row>
    <row r="42" spans="1:65" x14ac:dyDescent="0.25">
      <c r="A42" t="s">
        <v>218</v>
      </c>
      <c r="B42" s="18">
        <f>((VOUT/IOUT)*((VIN_var/VOUT)^2))/(Lm)</f>
        <v>457142.8571428571</v>
      </c>
      <c r="C42" t="s">
        <v>216</v>
      </c>
      <c r="E42" t="s">
        <v>208</v>
      </c>
      <c r="N42" s="9">
        <v>24</v>
      </c>
      <c r="O42" s="34">
        <f t="shared" si="62"/>
        <v>17.378008287493756</v>
      </c>
      <c r="P42" s="33" t="str">
        <f t="shared" si="50"/>
        <v>19.6196196196196</v>
      </c>
      <c r="Q42" s="4" t="str">
        <f t="shared" si="63"/>
        <v>1+0.0264300276313447i</v>
      </c>
      <c r="R42" s="4">
        <f t="shared" si="64"/>
        <v>1.0003492122057145</v>
      </c>
      <c r="S42" s="4">
        <f t="shared" si="65"/>
        <v>2.6423876009583978E-2</v>
      </c>
      <c r="T42" s="4" t="str">
        <f t="shared" si="51"/>
        <v>1+0.000410551566238497i</v>
      </c>
      <c r="U42" s="4">
        <f t="shared" si="66"/>
        <v>1.0000000842762908</v>
      </c>
      <c r="V42" s="4">
        <f t="shared" si="67"/>
        <v>4.1055154317198958E-4</v>
      </c>
      <c r="W42" t="str">
        <f t="shared" si="52"/>
        <v>1-0.000238851476368807i</v>
      </c>
      <c r="X42" s="4">
        <f t="shared" si="68"/>
        <v>1.0000000285250135</v>
      </c>
      <c r="Y42" s="4">
        <f t="shared" si="69"/>
        <v>-2.3885147182664603E-4</v>
      </c>
      <c r="Z42" t="str">
        <f t="shared" si="53"/>
        <v>0.999999999698005+0.000159884253569324i</v>
      </c>
      <c r="AA42" s="4">
        <f t="shared" si="70"/>
        <v>1.0000000124794921</v>
      </c>
      <c r="AB42" s="4">
        <f t="shared" si="71"/>
        <v>1.5988425225523588E-4</v>
      </c>
      <c r="AC42" s="47" t="str">
        <f t="shared" si="72"/>
        <v>19.6059320610977-0.517953504213785i</v>
      </c>
      <c r="AD42" s="20">
        <f t="shared" si="73"/>
        <v>25.850779844810141</v>
      </c>
      <c r="AE42" s="43">
        <f t="shared" si="74"/>
        <v>-1.5132995771607942</v>
      </c>
      <c r="AF42" t="str">
        <f t="shared" si="54"/>
        <v>72.2956529813786</v>
      </c>
      <c r="AG42" t="str">
        <f t="shared" si="55"/>
        <v>1+0.0215539572275211i</v>
      </c>
      <c r="AH42">
        <f t="shared" si="75"/>
        <v>1.0002322595638304</v>
      </c>
      <c r="AI42">
        <f t="shared" si="76"/>
        <v>2.1550620361560399E-2</v>
      </c>
      <c r="AJ42" t="str">
        <f t="shared" si="56"/>
        <v>1+0.000410551566238497i</v>
      </c>
      <c r="AK42">
        <f t="shared" si="77"/>
        <v>1.0000000842762908</v>
      </c>
      <c r="AL42">
        <f t="shared" si="78"/>
        <v>4.1055154317198958E-4</v>
      </c>
      <c r="AM42" t="str">
        <f t="shared" si="57"/>
        <v>1-0.0000528610165824825i</v>
      </c>
      <c r="AN42">
        <f t="shared" si="79"/>
        <v>1.0000000013971435</v>
      </c>
      <c r="AO42">
        <f t="shared" si="80"/>
        <v>-5.2861016533246215E-5</v>
      </c>
      <c r="AP42" s="41" t="str">
        <f t="shared" si="81"/>
        <v>72.2626406473333-1.5316863938077i</v>
      </c>
      <c r="AQ42">
        <f t="shared" si="82"/>
        <v>37.180227290796722</v>
      </c>
      <c r="AR42" s="43">
        <f t="shared" si="83"/>
        <v>-1.2142654350578954</v>
      </c>
      <c r="AS42" t="str">
        <f t="shared" si="58"/>
        <v>-0.0000166666666666667</v>
      </c>
      <c r="AT42" t="str">
        <f t="shared" si="59"/>
        <v>3.71243437556088E-07i</v>
      </c>
      <c r="AU42">
        <f t="shared" si="84"/>
        <v>3.7124343755608799E-7</v>
      </c>
      <c r="AV42">
        <f t="shared" si="85"/>
        <v>1.5707963267948966</v>
      </c>
      <c r="AW42" t="str">
        <f t="shared" si="60"/>
        <v>1+0.000370922292713912i</v>
      </c>
      <c r="AX42">
        <f t="shared" si="86"/>
        <v>1.0000000687916712</v>
      </c>
      <c r="AY42">
        <f t="shared" si="87"/>
        <v>3.7092227570300322E-4</v>
      </c>
      <c r="AZ42" t="str">
        <f t="shared" si="61"/>
        <v>1+0.012611357952273i</v>
      </c>
      <c r="BA42">
        <f t="shared" si="88"/>
        <v>1.0000795200129839</v>
      </c>
      <c r="BB42">
        <f t="shared" si="89"/>
        <v>1.2610689419254053E-2</v>
      </c>
      <c r="BC42" s="41" t="str">
        <f t="shared" si="90"/>
        <v>-0.549524145847918+44.8943756345303i</v>
      </c>
      <c r="BD42">
        <f t="shared" si="91"/>
        <v>33.044489361398853</v>
      </c>
      <c r="BE42" s="43">
        <f t="shared" si="92"/>
        <v>90.701286999548373</v>
      </c>
      <c r="BF42" s="41" t="str">
        <f t="shared" si="93"/>
        <v>12.4792661099679+880.480706572993i</v>
      </c>
      <c r="BG42" s="20">
        <f t="shared" si="94"/>
        <v>58.895269206208987</v>
      </c>
      <c r="BH42" s="43">
        <f t="shared" si="95"/>
        <v>89.187987422387579</v>
      </c>
      <c r="BI42" s="41" t="str">
        <f t="shared" si="96"/>
        <v>29.0540384394611+3245.02783222172i</v>
      </c>
      <c r="BJ42" s="20">
        <f t="shared" si="97"/>
        <v>70.224716652195568</v>
      </c>
      <c r="BK42" s="43">
        <f t="shared" si="98"/>
        <v>89.487021564490476</v>
      </c>
      <c r="BL42">
        <f t="shared" si="99"/>
        <v>58.895269206208987</v>
      </c>
      <c r="BM42" s="43">
        <f t="shared" si="100"/>
        <v>89.187987422387579</v>
      </c>
    </row>
    <row r="43" spans="1:65" x14ac:dyDescent="0.25">
      <c r="B43" s="1">
        <f>wz_rhp/(2*PI())</f>
        <v>72756.545413437867</v>
      </c>
      <c r="C43" t="s">
        <v>65</v>
      </c>
      <c r="N43" s="9">
        <v>25</v>
      </c>
      <c r="O43" s="34">
        <f t="shared" si="62"/>
        <v>17.782794100389236</v>
      </c>
      <c r="P43" s="33" t="str">
        <f t="shared" si="50"/>
        <v>19.6196196196196</v>
      </c>
      <c r="Q43" s="4" t="str">
        <f t="shared" si="63"/>
        <v>1+0.0270456620609416i</v>
      </c>
      <c r="R43" s="4">
        <f t="shared" si="64"/>
        <v>1.0003656670619572</v>
      </c>
      <c r="S43" s="4">
        <f t="shared" si="65"/>
        <v>2.7039070609590848E-2</v>
      </c>
      <c r="T43" s="4" t="str">
        <f t="shared" si="51"/>
        <v>1+0.00042011454070174i</v>
      </c>
      <c r="U43" s="4">
        <f t="shared" si="66"/>
        <v>1.0000000882481097</v>
      </c>
      <c r="V43" s="4">
        <f t="shared" si="67"/>
        <v>4.2011451598553216E-4</v>
      </c>
      <c r="W43" t="str">
        <f t="shared" si="52"/>
        <v>1-0.000244415041964111i</v>
      </c>
      <c r="X43" s="4">
        <f t="shared" si="68"/>
        <v>1.0000000298693559</v>
      </c>
      <c r="Y43" s="4">
        <f t="shared" si="69"/>
        <v>-2.4441503709709785E-4</v>
      </c>
      <c r="Z43" t="str">
        <f t="shared" si="53"/>
        <v>0.999999999683772+0.000163608436253527i</v>
      </c>
      <c r="AA43" s="4">
        <f t="shared" si="70"/>
        <v>1.0000000130676321</v>
      </c>
      <c r="AB43" s="4">
        <f t="shared" si="71"/>
        <v>1.6360843484545631E-4</v>
      </c>
      <c r="AC43" s="47" t="str">
        <f t="shared" si="72"/>
        <v>19.6052874578443-0.530000757482632i</v>
      </c>
      <c r="AD43" s="20">
        <f t="shared" si="73"/>
        <v>25.850637011880686</v>
      </c>
      <c r="AE43" s="43">
        <f t="shared" si="74"/>
        <v>-1.5485318620922115</v>
      </c>
      <c r="AF43" t="str">
        <f t="shared" si="54"/>
        <v>72.2956529813786</v>
      </c>
      <c r="AG43" t="str">
        <f t="shared" si="55"/>
        <v>1+0.0220560133868414i</v>
      </c>
      <c r="AH43">
        <f t="shared" si="75"/>
        <v>1.0002432042890972</v>
      </c>
      <c r="AI43">
        <f t="shared" si="76"/>
        <v>2.2052437917497524E-2</v>
      </c>
      <c r="AJ43" t="str">
        <f t="shared" si="56"/>
        <v>1+0.00042011454070174i</v>
      </c>
      <c r="AK43">
        <f t="shared" si="77"/>
        <v>1.0000000882481097</v>
      </c>
      <c r="AL43">
        <f t="shared" si="78"/>
        <v>4.2011451598553216E-4</v>
      </c>
      <c r="AM43" t="str">
        <f t="shared" si="57"/>
        <v>1-0.0000540923078336908i</v>
      </c>
      <c r="AN43">
        <f t="shared" si="79"/>
        <v>1.0000000014629888</v>
      </c>
      <c r="AO43">
        <f t="shared" si="80"/>
        <v>-5.4092307780933169E-5</v>
      </c>
      <c r="AP43" s="41" t="str">
        <f t="shared" si="81"/>
        <v>72.2610855804518-1.56732965457924i</v>
      </c>
      <c r="AQ43">
        <f t="shared" si="82"/>
        <v>37.180132283786179</v>
      </c>
      <c r="AR43" s="43">
        <f t="shared" si="83"/>
        <v>-1.2425400929086927</v>
      </c>
      <c r="AS43" t="str">
        <f t="shared" si="58"/>
        <v>-0.0000166666666666667</v>
      </c>
      <c r="AT43" t="str">
        <f t="shared" si="59"/>
        <v>3.79890808081363E-07i</v>
      </c>
      <c r="AU43">
        <f t="shared" si="84"/>
        <v>3.7989080808136298E-7</v>
      </c>
      <c r="AV43">
        <f t="shared" si="85"/>
        <v>1.5707963267948966</v>
      </c>
      <c r="AW43" t="str">
        <f t="shared" si="60"/>
        <v>1+0.000379562182814855i</v>
      </c>
      <c r="AX43">
        <f t="shared" si="86"/>
        <v>1.0000000720337228</v>
      </c>
      <c r="AY43">
        <f t="shared" si="87"/>
        <v>3.7956216458733791E-4</v>
      </c>
      <c r="AZ43" t="str">
        <f t="shared" si="61"/>
        <v>1+0.0129051142157051i</v>
      </c>
      <c r="BA43">
        <f t="shared" si="88"/>
        <v>1.0000832675197202</v>
      </c>
      <c r="BB43">
        <f t="shared" si="89"/>
        <v>1.2904397872890343E-2</v>
      </c>
      <c r="BC43" s="41" t="str">
        <f t="shared" si="90"/>
        <v>-0.549524142284745+43.8724642692158i</v>
      </c>
      <c r="BD43">
        <f t="shared" si="91"/>
        <v>32.844521881019453</v>
      </c>
      <c r="BE43" s="43">
        <f t="shared" si="92"/>
        <v>90.717620225180511</v>
      </c>
      <c r="BF43" s="41" t="str">
        <f t="shared" si="93"/>
        <v>12.4788605207963+860.423521693645i</v>
      </c>
      <c r="BG43" s="20">
        <f t="shared" si="94"/>
        <v>58.695158892900139</v>
      </c>
      <c r="BH43" s="43">
        <f t="shared" si="95"/>
        <v>89.169088363088306</v>
      </c>
      <c r="BI43" s="41" t="str">
        <f t="shared" si="96"/>
        <v>29.0534031944477+3171.13318066723i</v>
      </c>
      <c r="BJ43" s="20">
        <f t="shared" si="97"/>
        <v>70.024654164805639</v>
      </c>
      <c r="BK43" s="43">
        <f t="shared" si="98"/>
        <v>89.475080132271813</v>
      </c>
      <c r="BL43">
        <f t="shared" si="99"/>
        <v>58.695158892900139</v>
      </c>
      <c r="BM43" s="43">
        <f t="shared" si="100"/>
        <v>89.169088363088306</v>
      </c>
    </row>
    <row r="44" spans="1:65" x14ac:dyDescent="0.25">
      <c r="B44" s="1"/>
      <c r="N44" s="9">
        <v>26</v>
      </c>
      <c r="O44" s="34">
        <f t="shared" si="62"/>
        <v>18.197008586099841</v>
      </c>
      <c r="P44" s="33" t="str">
        <f t="shared" si="50"/>
        <v>19.6196196196196</v>
      </c>
      <c r="Q44" s="4" t="str">
        <f t="shared" si="63"/>
        <v>1+0.0276756364585551i</v>
      </c>
      <c r="R44" s="4">
        <f t="shared" si="64"/>
        <v>1.0003828971215902</v>
      </c>
      <c r="S44" s="4">
        <f t="shared" si="65"/>
        <v>2.7668573737178168E-2</v>
      </c>
      <c r="T44" s="4" t="str">
        <f t="shared" si="51"/>
        <v>1+0.000429900265455339i</v>
      </c>
      <c r="U44" s="4">
        <f t="shared" si="66"/>
        <v>1.0000000924071148</v>
      </c>
      <c r="V44" s="4">
        <f t="shared" si="67"/>
        <v>4.2990023897144527E-4</v>
      </c>
      <c r="W44" t="str">
        <f t="shared" si="52"/>
        <v>1-0.000250108199649882i</v>
      </c>
      <c r="X44" s="4">
        <f t="shared" si="68"/>
        <v>1.0000000312770552</v>
      </c>
      <c r="Y44" s="4">
        <f t="shared" si="69"/>
        <v>-2.5010819443478346E-4</v>
      </c>
      <c r="Z44" t="str">
        <f t="shared" si="53"/>
        <v>0.999999999668869+0.000167419366296247i</v>
      </c>
      <c r="AA44" s="4">
        <f t="shared" si="70"/>
        <v>1.000000013683491</v>
      </c>
      <c r="AB44" s="4">
        <f t="shared" si="71"/>
        <v>1.6741936478747202E-4</v>
      </c>
      <c r="AC44" s="47" t="str">
        <f t="shared" si="72"/>
        <v>19.6046125208308-0.542327381740301i</v>
      </c>
      <c r="AD44" s="20">
        <f t="shared" si="73"/>
        <v>25.850487452480255</v>
      </c>
      <c r="AE44" s="43">
        <f t="shared" si="74"/>
        <v>-1.584583597955928</v>
      </c>
      <c r="AF44" t="str">
        <f t="shared" si="54"/>
        <v>72.2956529813786</v>
      </c>
      <c r="AG44" t="str">
        <f t="shared" si="55"/>
        <v>1+0.0225697639364053i</v>
      </c>
      <c r="AH44">
        <f t="shared" si="75"/>
        <v>1.000254664695019</v>
      </c>
      <c r="AI44">
        <f t="shared" si="76"/>
        <v>2.2565932804657386E-2</v>
      </c>
      <c r="AJ44" t="str">
        <f t="shared" si="56"/>
        <v>1+0.000429900265455339i</v>
      </c>
      <c r="AK44">
        <f t="shared" si="77"/>
        <v>1.0000000924071148</v>
      </c>
      <c r="AL44">
        <f t="shared" si="78"/>
        <v>4.2990023897144527E-4</v>
      </c>
      <c r="AM44" t="str">
        <f t="shared" si="57"/>
        <v>1-0.0000553522795425092i</v>
      </c>
      <c r="AN44">
        <f t="shared" si="79"/>
        <v>1.0000000015319375</v>
      </c>
      <c r="AO44">
        <f t="shared" si="80"/>
        <v>-5.5352279485978382E-5</v>
      </c>
      <c r="AP44" s="41" t="str">
        <f t="shared" si="81"/>
        <v>72.2594572984736-1.60380070218488i</v>
      </c>
      <c r="AQ44">
        <f t="shared" si="82"/>
        <v>37.180032801462374</v>
      </c>
      <c r="AR44" s="43">
        <f t="shared" si="83"/>
        <v>-1.2714726931789266</v>
      </c>
      <c r="AS44" t="str">
        <f t="shared" si="58"/>
        <v>-0.0000166666666666667</v>
      </c>
      <c r="AT44" t="str">
        <f t="shared" si="59"/>
        <v>3.88739601741531E-07i</v>
      </c>
      <c r="AU44">
        <f t="shared" si="84"/>
        <v>3.8873960174153098E-7</v>
      </c>
      <c r="AV44">
        <f t="shared" si="85"/>
        <v>1.5707963267948966</v>
      </c>
      <c r="AW44" t="str">
        <f t="shared" si="60"/>
        <v>1+0.000388403321809228i</v>
      </c>
      <c r="AX44">
        <f t="shared" si="86"/>
        <v>1.0000000754285674</v>
      </c>
      <c r="AY44">
        <f t="shared" si="87"/>
        <v>3.8840330227809161E-4</v>
      </c>
      <c r="AZ44" t="str">
        <f t="shared" si="61"/>
        <v>1+0.0132057129415137i</v>
      </c>
      <c r="BA44">
        <f t="shared" si="88"/>
        <v>1.0000871916259571</v>
      </c>
      <c r="BB44">
        <f t="shared" si="89"/>
        <v>1.3204945369972765E-2</v>
      </c>
      <c r="BC44" s="41" t="str">
        <f t="shared" si="90"/>
        <v>-0.549524138553644+42.8738146651778i</v>
      </c>
      <c r="BD44">
        <f t="shared" si="91"/>
        <v>32.644555932981206</v>
      </c>
      <c r="BE44" s="43">
        <f t="shared" si="92"/>
        <v>90.734333768430773</v>
      </c>
      <c r="BF44" s="41" t="str">
        <f t="shared" si="93"/>
        <v>12.4784358453973+840.822545787989i</v>
      </c>
      <c r="BG44" s="20">
        <f t="shared" si="94"/>
        <v>58.495043385461464</v>
      </c>
      <c r="BH44" s="43">
        <f t="shared" si="95"/>
        <v>89.149750170474846</v>
      </c>
      <c r="BI44" s="41" t="str">
        <f t="shared" si="96"/>
        <v>29.052738041059+3098.91990722037i</v>
      </c>
      <c r="BJ44" s="20">
        <f t="shared" si="97"/>
        <v>69.824588734443594</v>
      </c>
      <c r="BK44" s="43">
        <f t="shared" si="98"/>
        <v>89.462861075251851</v>
      </c>
      <c r="BL44">
        <f t="shared" si="99"/>
        <v>58.495043385461464</v>
      </c>
      <c r="BM44" s="43">
        <f t="shared" si="100"/>
        <v>89.149750170474846</v>
      </c>
    </row>
    <row r="45" spans="1:65" x14ac:dyDescent="0.25">
      <c r="A45" t="s">
        <v>219</v>
      </c>
      <c r="B45" s="18">
        <f>1/(Cout*Resr)</f>
        <v>265957.44680851063</v>
      </c>
      <c r="C45" t="s">
        <v>216</v>
      </c>
      <c r="E45" t="s">
        <v>209</v>
      </c>
      <c r="N45" s="9">
        <v>27</v>
      </c>
      <c r="O45" s="34">
        <f t="shared" si="62"/>
        <v>18.62087136662868</v>
      </c>
      <c r="P45" s="33" t="str">
        <f t="shared" si="50"/>
        <v>19.6196196196196</v>
      </c>
      <c r="Q45" s="4" t="str">
        <f t="shared" si="63"/>
        <v>1+0.0283202848449491i</v>
      </c>
      <c r="R45" s="4">
        <f t="shared" si="64"/>
        <v>1.0004009388908524</v>
      </c>
      <c r="S45" s="4">
        <f t="shared" si="65"/>
        <v>2.8312717166446965E-2</v>
      </c>
      <c r="T45" s="4" t="str">
        <f t="shared" si="51"/>
        <v>1+0.000439913929020084i</v>
      </c>
      <c r="U45" s="4">
        <f t="shared" si="66"/>
        <v>1.0000000967621276</v>
      </c>
      <c r="V45" s="4">
        <f t="shared" si="67"/>
        <v>4.3991390064208072E-4</v>
      </c>
      <c r="W45" t="str">
        <f t="shared" si="52"/>
        <v>1-0.000255933968013679i</v>
      </c>
      <c r="X45" s="4">
        <f t="shared" si="68"/>
        <v>1.0000000327510974</v>
      </c>
      <c r="Y45" s="4">
        <f t="shared" si="69"/>
        <v>-2.5593396242560022E-4</v>
      </c>
      <c r="Z45" t="str">
        <f t="shared" si="53"/>
        <v>0.999999999653263+0.000171319064303034i</v>
      </c>
      <c r="AA45" s="4">
        <f t="shared" si="70"/>
        <v>1.0000000143283738</v>
      </c>
      <c r="AB45" s="4">
        <f t="shared" si="71"/>
        <v>1.7131906268635249E-4</v>
      </c>
      <c r="AC45" s="47" t="str">
        <f t="shared" si="72"/>
        <v>19.6039058248513-0.554939795442787i</v>
      </c>
      <c r="AD45" s="20">
        <f t="shared" si="73"/>
        <v>25.850330850085633</v>
      </c>
      <c r="AE45" s="43">
        <f t="shared" si="74"/>
        <v>-1.6214737854521875</v>
      </c>
      <c r="AF45" t="str">
        <f t="shared" si="54"/>
        <v>72.2956529813786</v>
      </c>
      <c r="AG45" t="str">
        <f t="shared" si="55"/>
        <v>1+0.0230954812735544i</v>
      </c>
      <c r="AH45">
        <f t="shared" si="75"/>
        <v>1.0002666650724981</v>
      </c>
      <c r="AI45">
        <f t="shared" si="76"/>
        <v>2.3091376201030807E-2</v>
      </c>
      <c r="AJ45" t="str">
        <f t="shared" si="56"/>
        <v>1+0.000439913929020084i</v>
      </c>
      <c r="AK45">
        <f t="shared" si="77"/>
        <v>1.0000000967621276</v>
      </c>
      <c r="AL45">
        <f t="shared" si="78"/>
        <v>4.3991390064208072E-4</v>
      </c>
      <c r="AM45" t="str">
        <f t="shared" si="57"/>
        <v>1-0.0000566415997626149i</v>
      </c>
      <c r="AN45">
        <f t="shared" si="79"/>
        <v>1.0000000016041353</v>
      </c>
      <c r="AO45">
        <f t="shared" si="80"/>
        <v>-5.6641599702041033E-5</v>
      </c>
      <c r="AP45" s="41" t="str">
        <f t="shared" si="81"/>
        <v>72.2577523579101-1.64111864313788i</v>
      </c>
      <c r="AQ45">
        <f t="shared" si="82"/>
        <v>37.179928633125307</v>
      </c>
      <c r="AR45" s="43">
        <f t="shared" si="83"/>
        <v>-1.3010785142197643</v>
      </c>
      <c r="AS45" t="str">
        <f t="shared" si="58"/>
        <v>-0.0000166666666666667</v>
      </c>
      <c r="AT45" t="str">
        <f t="shared" si="59"/>
        <v>3.9779451028412E-07i</v>
      </c>
      <c r="AU45">
        <f t="shared" si="84"/>
        <v>3.9779451028412002E-7</v>
      </c>
      <c r="AV45">
        <f t="shared" si="85"/>
        <v>1.5707963267948966</v>
      </c>
      <c r="AW45" t="str">
        <f t="shared" si="60"/>
        <v>1+0.00039745039738595i</v>
      </c>
      <c r="AX45">
        <f t="shared" si="86"/>
        <v>1.000000078983406</v>
      </c>
      <c r="AY45">
        <f t="shared" si="87"/>
        <v>3.9745037645796038E-4</v>
      </c>
      <c r="AZ45" t="str">
        <f t="shared" si="61"/>
        <v>1+0.0135133135111223i</v>
      </c>
      <c r="BA45">
        <f t="shared" si="88"/>
        <v>1.0000913006531202</v>
      </c>
      <c r="BB45">
        <f t="shared" si="89"/>
        <v>1.3512491047453239E-2</v>
      </c>
      <c r="BC45" s="41" t="str">
        <f t="shared" si="90"/>
        <v>-0.54952413464671+41.8978973251769i</v>
      </c>
      <c r="BD45">
        <f t="shared" si="91"/>
        <v>32.444591589475749</v>
      </c>
      <c r="BE45" s="43">
        <f t="shared" si="92"/>
        <v>90.751436478590449</v>
      </c>
      <c r="BF45" s="41" t="str">
        <f t="shared" si="93"/>
        <v>12.4779911870196+821.667386232929i</v>
      </c>
      <c r="BG45" s="20">
        <f t="shared" si="94"/>
        <v>58.29492243956139</v>
      </c>
      <c r="BH45" s="43">
        <f t="shared" si="95"/>
        <v>89.129962693138268</v>
      </c>
      <c r="BI45" s="41" t="str">
        <f t="shared" si="96"/>
        <v>29.0520415726277+3028.349723542i</v>
      </c>
      <c r="BJ45" s="20">
        <f t="shared" si="97"/>
        <v>69.624520222601063</v>
      </c>
      <c r="BK45" s="43">
        <f t="shared" si="98"/>
        <v>89.450357964370681</v>
      </c>
      <c r="BL45">
        <f t="shared" si="99"/>
        <v>58.29492243956139</v>
      </c>
      <c r="BM45" s="43">
        <f t="shared" si="100"/>
        <v>89.129962693138268</v>
      </c>
    </row>
    <row r="46" spans="1:65" x14ac:dyDescent="0.25">
      <c r="B46" s="18">
        <f>wz_esr/(2*PI())</f>
        <v>42328.442311674291</v>
      </c>
      <c r="C46" t="s">
        <v>65</v>
      </c>
      <c r="N46" s="9">
        <v>28</v>
      </c>
      <c r="O46" s="34">
        <f t="shared" si="62"/>
        <v>19.054607179632477</v>
      </c>
      <c r="P46" s="33" t="str">
        <f t="shared" si="50"/>
        <v>19.6196196196196</v>
      </c>
      <c r="Q46" s="4" t="str">
        <f t="shared" si="63"/>
        <v>1+0.0289799490212313i</v>
      </c>
      <c r="R46" s="4">
        <f t="shared" si="64"/>
        <v>1.0004198305937728</v>
      </c>
      <c r="S46" s="4">
        <f t="shared" si="65"/>
        <v>2.897184029139821E-2</v>
      </c>
      <c r="T46" s="4" t="str">
        <f t="shared" si="51"/>
        <v>1+0.000450160840772945i</v>
      </c>
      <c r="U46" s="4">
        <f t="shared" si="66"/>
        <v>1.000000101322386</v>
      </c>
      <c r="V46" s="4">
        <f t="shared" si="67"/>
        <v>4.5016081036536678E-4</v>
      </c>
      <c r="W46" t="str">
        <f t="shared" si="52"/>
        <v>1-0.000261895435955005i</v>
      </c>
      <c r="X46" s="4">
        <f t="shared" si="68"/>
        <v>1.0000000342946092</v>
      </c>
      <c r="Y46" s="4">
        <f t="shared" si="69"/>
        <v>-2.6189542996727077E-4</v>
      </c>
      <c r="Z46" t="str">
        <f t="shared" si="53"/>
        <v>0.999999999636922+0.000175309597945391i</v>
      </c>
      <c r="AA46" s="4">
        <f t="shared" si="70"/>
        <v>1.0000000150036494</v>
      </c>
      <c r="AB46" s="4">
        <f t="shared" si="71"/>
        <v>1.7530959621308553E-4</v>
      </c>
      <c r="AC46" s="47" t="str">
        <f t="shared" si="72"/>
        <v>19.6031658779541-0.567844560209616i</v>
      </c>
      <c r="AD46" s="20">
        <f t="shared" si="73"/>
        <v>25.85016687330322</v>
      </c>
      <c r="AE46" s="43">
        <f t="shared" si="74"/>
        <v>-1.659221861670104</v>
      </c>
      <c r="AF46" t="str">
        <f t="shared" si="54"/>
        <v>72.2956529813786</v>
      </c>
      <c r="AG46" t="str">
        <f t="shared" si="55"/>
        <v>1+0.0236334441405796i</v>
      </c>
      <c r="AH46">
        <f t="shared" si="75"/>
        <v>1.0002792308560375</v>
      </c>
      <c r="AI46">
        <f t="shared" si="76"/>
        <v>2.3629045542435976E-2</v>
      </c>
      <c r="AJ46" t="str">
        <f t="shared" si="56"/>
        <v>1+0.000450160840772945i</v>
      </c>
      <c r="AK46">
        <f t="shared" si="77"/>
        <v>1.000000101322386</v>
      </c>
      <c r="AL46">
        <f t="shared" si="78"/>
        <v>4.5016081036536678E-4</v>
      </c>
      <c r="AM46" t="str">
        <f t="shared" si="57"/>
        <v>1-0.0000579609521086551i</v>
      </c>
      <c r="AN46">
        <f t="shared" si="79"/>
        <v>1.0000000016797359</v>
      </c>
      <c r="AO46">
        <f t="shared" si="80"/>
        <v>-5.796095204374904E-5</v>
      </c>
      <c r="AP46" s="41" t="str">
        <f t="shared" si="81"/>
        <v>72.2559671536632-1.67930301649945i</v>
      </c>
      <c r="AQ46">
        <f t="shared" si="82"/>
        <v>37.179819558165597</v>
      </c>
      <c r="AR46" s="43">
        <f t="shared" si="83"/>
        <v>-1.3313731868965388</v>
      </c>
      <c r="AS46" t="str">
        <f t="shared" si="58"/>
        <v>-0.0000166666666666667</v>
      </c>
      <c r="AT46" t="str">
        <f t="shared" si="59"/>
        <v>4.07060334741494E-07i</v>
      </c>
      <c r="AU46">
        <f t="shared" si="84"/>
        <v>4.0706033474149401E-7</v>
      </c>
      <c r="AV46">
        <f t="shared" si="85"/>
        <v>1.5707963267948966</v>
      </c>
      <c r="AW46" t="str">
        <f t="shared" si="60"/>
        <v>1+0.000406708206424243i</v>
      </c>
      <c r="AX46">
        <f t="shared" si="86"/>
        <v>1.0000000827057791</v>
      </c>
      <c r="AY46">
        <f t="shared" si="87"/>
        <v>4.0670818399949824E-4</v>
      </c>
      <c r="AZ46" t="str">
        <f t="shared" si="61"/>
        <v>1+0.0138280790184242i</v>
      </c>
      <c r="BA46">
        <f t="shared" si="88"/>
        <v>1.0000956033146731</v>
      </c>
      <c r="BB46">
        <f t="shared" si="89"/>
        <v>1.3827197737274902E-2</v>
      </c>
      <c r="BC46" s="41" t="str">
        <f t="shared" si="90"/>
        <v>-0.549524130555638+40.9441948049221i</v>
      </c>
      <c r="BD46">
        <f t="shared" si="91"/>
        <v>32.244628926094848</v>
      </c>
      <c r="BE46" s="43">
        <f t="shared" si="92"/>
        <v>90.768937410402089</v>
      </c>
      <c r="BF46" s="41" t="str">
        <f t="shared" si="93"/>
        <v>12.4775256069172+802.947886788394i</v>
      </c>
      <c r="BG46" s="20">
        <f t="shared" si="94"/>
        <v>58.094795799398071</v>
      </c>
      <c r="BH46" s="43">
        <f t="shared" si="95"/>
        <v>89.109715548731984</v>
      </c>
      <c r="BI46" s="41" t="str">
        <f t="shared" si="96"/>
        <v>29.0513123164733+2959.38521248772i</v>
      </c>
      <c r="BJ46" s="20">
        <f t="shared" si="97"/>
        <v>69.424448484260438</v>
      </c>
      <c r="BK46" s="43">
        <f t="shared" si="98"/>
        <v>89.437564223505547</v>
      </c>
      <c r="BL46">
        <f t="shared" si="99"/>
        <v>58.094795799398071</v>
      </c>
      <c r="BM46" s="43">
        <f t="shared" si="100"/>
        <v>89.109715548731984</v>
      </c>
    </row>
    <row r="47" spans="1:65" x14ac:dyDescent="0.25">
      <c r="B47" s="1"/>
      <c r="N47" s="9">
        <v>29</v>
      </c>
      <c r="O47" s="34">
        <f t="shared" si="62"/>
        <v>19.498445997580465</v>
      </c>
      <c r="P47" s="33" t="str">
        <f t="shared" si="50"/>
        <v>19.6196196196196</v>
      </c>
      <c r="Q47" s="4" t="str">
        <f t="shared" si="63"/>
        <v>1+0.0296549787500795i</v>
      </c>
      <c r="R47" s="4">
        <f t="shared" si="64"/>
        <v>1.0004396122528674</v>
      </c>
      <c r="S47" s="4">
        <f t="shared" si="65"/>
        <v>2.9646290295713064E-2</v>
      </c>
      <c r="T47" s="4" t="str">
        <f t="shared" si="51"/>
        <v>1+0.000460646433762168i</v>
      </c>
      <c r="U47" s="4">
        <f t="shared" si="66"/>
        <v>1.000000106097563</v>
      </c>
      <c r="V47" s="4">
        <f t="shared" si="67"/>
        <v>4.6064640117986114E-4</v>
      </c>
      <c r="W47" t="str">
        <f t="shared" si="52"/>
        <v>1-0.00026799576432307i</v>
      </c>
      <c r="X47" s="4">
        <f t="shared" si="68"/>
        <v>1.0000000359108643</v>
      </c>
      <c r="Y47" s="4">
        <f t="shared" si="69"/>
        <v>-2.6799575790709715E-4</v>
      </c>
      <c r="Z47" t="str">
        <f t="shared" si="53"/>
        <v>0.999999999619811+0.000179393083057075i</v>
      </c>
      <c r="AA47" s="4">
        <f t="shared" si="70"/>
        <v>1.00000001571075</v>
      </c>
      <c r="AB47" s="4">
        <f t="shared" si="71"/>
        <v>1.793930812008762E-4</v>
      </c>
      <c r="AC47" s="47" t="str">
        <f t="shared" si="72"/>
        <v>19.6023911183362-0.58104838370723i</v>
      </c>
      <c r="AD47" s="20">
        <f t="shared" si="73"/>
        <v>25.849995175172523</v>
      </c>
      <c r="AE47" s="43">
        <f t="shared" si="74"/>
        <v>-1.6978477098106566</v>
      </c>
      <c r="AF47" t="str">
        <f t="shared" si="54"/>
        <v>72.2956529813786</v>
      </c>
      <c r="AG47" t="str">
        <f t="shared" si="55"/>
        <v>1+0.0241839377725138i</v>
      </c>
      <c r="AH47">
        <f t="shared" si="75"/>
        <v>1.000292388677523</v>
      </c>
      <c r="AI47">
        <f t="shared" si="76"/>
        <v>2.4179224664090622E-2</v>
      </c>
      <c r="AJ47" t="str">
        <f t="shared" si="56"/>
        <v>1+0.000460646433762168i</v>
      </c>
      <c r="AK47">
        <f t="shared" si="77"/>
        <v>1.000000106097563</v>
      </c>
      <c r="AL47">
        <f t="shared" si="78"/>
        <v>4.6064640117986114E-4</v>
      </c>
      <c r="AM47" t="str">
        <f t="shared" si="57"/>
        <v>1-0.0000593110361187073i</v>
      </c>
      <c r="AN47">
        <f t="shared" si="79"/>
        <v>1.0000000017588995</v>
      </c>
      <c r="AO47">
        <f t="shared" si="80"/>
        <v>-5.9311036049159197E-5</v>
      </c>
      <c r="AP47" s="41" t="str">
        <f t="shared" si="81"/>
        <v>72.2540979114751-1.71837380306306i</v>
      </c>
      <c r="AQ47">
        <f t="shared" si="82"/>
        <v>37.179705345599672</v>
      </c>
      <c r="AR47" s="43">
        <f t="shared" si="83"/>
        <v>-1.362372702559689</v>
      </c>
      <c r="AS47" t="str">
        <f t="shared" si="58"/>
        <v>-0.0000166666666666667</v>
      </c>
      <c r="AT47" t="str">
        <f t="shared" si="59"/>
        <v>4.16541987976429E-07i</v>
      </c>
      <c r="AU47">
        <f t="shared" si="84"/>
        <v>4.1654198797642899E-7</v>
      </c>
      <c r="AV47">
        <f t="shared" si="85"/>
        <v>1.5707963267948966</v>
      </c>
      <c r="AW47" t="str">
        <f t="shared" si="60"/>
        <v>1+0.000416181657537003i</v>
      </c>
      <c r="AX47">
        <f t="shared" si="86"/>
        <v>1.0000000866035823</v>
      </c>
      <c r="AY47">
        <f t="shared" si="87"/>
        <v>4.1618163350845615E-4</v>
      </c>
      <c r="AZ47" t="str">
        <f t="shared" si="61"/>
        <v>1+0.0141501763562581i</v>
      </c>
      <c r="BA47">
        <f t="shared" si="88"/>
        <v>1.0001001087345773</v>
      </c>
      <c r="BB47">
        <f t="shared" si="89"/>
        <v>1.4149232051598359E-2</v>
      </c>
      <c r="BC47" s="41" t="str">
        <f t="shared" si="90"/>
        <v>-0.549524126271768+40.0122014387129i</v>
      </c>
      <c r="BD47">
        <f t="shared" si="91"/>
        <v>32.044668021989906</v>
      </c>
      <c r="BE47" s="43">
        <f t="shared" si="92"/>
        <v>90.786845828796928</v>
      </c>
      <c r="BF47" s="41" t="str">
        <f t="shared" si="93"/>
        <v>12.4770381223911+784.654122212683i</v>
      </c>
      <c r="BG47" s="20">
        <f t="shared" si="94"/>
        <v>57.89466319716243</v>
      </c>
      <c r="BH47" s="43">
        <f t="shared" si="95"/>
        <v>89.088998118986268</v>
      </c>
      <c r="BI47" s="41" t="str">
        <f t="shared" si="96"/>
        <v>29.0505487308082+2891.98980826916i</v>
      </c>
      <c r="BJ47" s="20">
        <f t="shared" si="97"/>
        <v>69.224373367589578</v>
      </c>
      <c r="BK47" s="43">
        <f t="shared" si="98"/>
        <v>89.424473126237231</v>
      </c>
      <c r="BL47">
        <f t="shared" si="99"/>
        <v>57.89466319716243</v>
      </c>
      <c r="BM47" s="43">
        <f t="shared" si="100"/>
        <v>89.088998118986268</v>
      </c>
    </row>
    <row r="48" spans="1:65" x14ac:dyDescent="0.25">
      <c r="A48" t="s">
        <v>212</v>
      </c>
      <c r="B48" s="1">
        <f>(Vsl*Fsw)</f>
        <v>90000</v>
      </c>
      <c r="C48" t="s">
        <v>150</v>
      </c>
      <c r="E48" t="s">
        <v>213</v>
      </c>
      <c r="N48" s="9">
        <v>30</v>
      </c>
      <c r="O48" s="34">
        <f t="shared" si="62"/>
        <v>19.952623149688804</v>
      </c>
      <c r="P48" s="33" t="str">
        <f t="shared" si="50"/>
        <v>19.6196196196196</v>
      </c>
      <c r="Q48" s="4" t="str">
        <f t="shared" si="63"/>
        <v>1+0.0303457319411911i</v>
      </c>
      <c r="R48" s="4">
        <f t="shared" si="64"/>
        <v>1.0004603257736144</v>
      </c>
      <c r="S48" s="4">
        <f t="shared" si="65"/>
        <v>3.0336422325941151E-2</v>
      </c>
      <c r="T48" s="4" t="str">
        <f t="shared" si="51"/>
        <v>1+0.000471376267587948i</v>
      </c>
      <c r="U48" s="4">
        <f t="shared" si="66"/>
        <v>1.0000001110977867</v>
      </c>
      <c r="V48" s="4">
        <f t="shared" si="67"/>
        <v>4.7137623267537741E-4</v>
      </c>
      <c r="W48" t="str">
        <f t="shared" si="52"/>
        <v>1-0.000274238187592723i</v>
      </c>
      <c r="X48" s="4">
        <f t="shared" si="68"/>
        <v>1.0000000376032911</v>
      </c>
      <c r="Y48" s="4">
        <f t="shared" si="69"/>
        <v>-2.7423818071788423E-4</v>
      </c>
      <c r="Z48" t="str">
        <f t="shared" si="53"/>
        <v>0.999999999601893+0.000183571684755945i</v>
      </c>
      <c r="AA48" s="4">
        <f t="shared" si="70"/>
        <v>1.0000000164511744</v>
      </c>
      <c r="AB48" s="4">
        <f t="shared" si="71"/>
        <v>1.8357168276699219E-4</v>
      </c>
      <c r="AC48" s="47" t="str">
        <f t="shared" si="72"/>
        <v>19.6015799110961-0.594558122567628i</v>
      </c>
      <c r="AD48" s="20">
        <f t="shared" si="73"/>
        <v>25.849815392437606</v>
      </c>
      <c r="AE48" s="43">
        <f t="shared" si="74"/>
        <v>-1.7373716691049359</v>
      </c>
      <c r="AF48" t="str">
        <f t="shared" si="54"/>
        <v>72.2956529813786</v>
      </c>
      <c r="AG48" t="str">
        <f t="shared" si="55"/>
        <v>1+0.0247472540483673i</v>
      </c>
      <c r="AH48">
        <f t="shared" si="75"/>
        <v>1.0003061664225281</v>
      </c>
      <c r="AI48">
        <f t="shared" si="76"/>
        <v>2.47422039451833E-2</v>
      </c>
      <c r="AJ48" t="str">
        <f t="shared" si="56"/>
        <v>1+0.000471376267587948i</v>
      </c>
      <c r="AK48">
        <f t="shared" si="77"/>
        <v>1.0000001110977867</v>
      </c>
      <c r="AL48">
        <f t="shared" si="78"/>
        <v>4.7137623267537741E-4</v>
      </c>
      <c r="AM48" t="str">
        <f t="shared" si="57"/>
        <v>1-0.000060692567625184i</v>
      </c>
      <c r="AN48">
        <f t="shared" si="79"/>
        <v>1.0000000018417938</v>
      </c>
      <c r="AO48">
        <f t="shared" si="80"/>
        <v>-6.0692567550661864E-5</v>
      </c>
      <c r="AP48" s="41" t="str">
        <f t="shared" si="81"/>
        <v>72.2521406800269-1.75835143468938i</v>
      </c>
      <c r="AQ48">
        <f t="shared" si="82"/>
        <v>37.179585753582899</v>
      </c>
      <c r="AR48" s="43">
        <f t="shared" si="83"/>
        <v>-1.3940934211843257</v>
      </c>
      <c r="AS48" t="str">
        <f t="shared" si="58"/>
        <v>-0.0000166666666666667</v>
      </c>
      <c r="AT48" t="str">
        <f t="shared" si="59"/>
        <v>4.26244497286974E-07i</v>
      </c>
      <c r="AU48">
        <f t="shared" si="84"/>
        <v>4.2624449728697401E-7</v>
      </c>
      <c r="AV48">
        <f t="shared" si="85"/>
        <v>1.5707963267948966</v>
      </c>
      <c r="AW48" t="str">
        <f t="shared" si="60"/>
        <v>1+0.000425875773673405i</v>
      </c>
      <c r="AX48">
        <f t="shared" si="86"/>
        <v>1.0000000906850832</v>
      </c>
      <c r="AY48">
        <f t="shared" si="87"/>
        <v>4.2587574792635332E-4</v>
      </c>
      <c r="AZ48" t="str">
        <f t="shared" si="61"/>
        <v>1+0.0144797763048957i</v>
      </c>
      <c r="BA48">
        <f t="shared" si="88"/>
        <v>1.0001048264666259</v>
      </c>
      <c r="BB48">
        <f t="shared" si="89"/>
        <v>1.4478764469950672E-2</v>
      </c>
      <c r="BC48" s="41" t="str">
        <f t="shared" si="90"/>
        <v>-0.549524121786001+39.1014230713307i</v>
      </c>
      <c r="BD48">
        <f t="shared" si="91"/>
        <v>31.84470896003992</v>
      </c>
      <c r="BE48" s="43">
        <f t="shared" si="92"/>
        <v>90.805171213738973</v>
      </c>
      <c r="BF48" s="41" t="str">
        <f t="shared" si="93"/>
        <v>12.4765277047497+766.77639300042i</v>
      </c>
      <c r="BG48" s="20">
        <f t="shared" si="94"/>
        <v>57.694524352477529</v>
      </c>
      <c r="BH48" s="43">
        <f t="shared" si="95"/>
        <v>89.067799544634056</v>
      </c>
      <c r="BI48" s="41" t="str">
        <f t="shared" si="96"/>
        <v>29.0497492015204+2826.12777706697i</v>
      </c>
      <c r="BJ48" s="20">
        <f t="shared" si="97"/>
        <v>69.024294713622808</v>
      </c>
      <c r="BK48" s="43">
        <f t="shared" si="98"/>
        <v>89.411077792554664</v>
      </c>
      <c r="BL48">
        <f t="shared" si="99"/>
        <v>57.694524352477529</v>
      </c>
      <c r="BM48" s="43">
        <f t="shared" si="100"/>
        <v>89.067799544634056</v>
      </c>
    </row>
    <row r="49" spans="1:65" x14ac:dyDescent="0.25">
      <c r="A49" t="s">
        <v>215</v>
      </c>
      <c r="B49" s="1">
        <f>(R_cs*VIN_var)/Lm</f>
        <v>18000.000000000004</v>
      </c>
      <c r="C49" t="s">
        <v>150</v>
      </c>
      <c r="E49" t="s">
        <v>214</v>
      </c>
      <c r="J49">
        <f>(0.5-(1-(VIN_var/VOUT)))</f>
        <v>7.1428571428571397E-2</v>
      </c>
      <c r="N49" s="9">
        <v>31</v>
      </c>
      <c r="O49" s="34">
        <f t="shared" si="62"/>
        <v>20.4173794466953</v>
      </c>
      <c r="P49" s="33" t="str">
        <f t="shared" si="50"/>
        <v>19.6196196196196</v>
      </c>
      <c r="Q49" s="4" t="str">
        <f t="shared" si="63"/>
        <v>1+0.031052574841051i</v>
      </c>
      <c r="R49" s="4">
        <f t="shared" si="64"/>
        <v>1.0004820150328837</v>
      </c>
      <c r="S49" s="4">
        <f t="shared" si="65"/>
        <v>3.1042599668134292E-2</v>
      </c>
      <c r="T49" s="4" t="str">
        <f t="shared" si="51"/>
        <v>1+0.000482356031350203i</v>
      </c>
      <c r="U49" s="4">
        <f t="shared" si="66"/>
        <v>1.0000001163336638</v>
      </c>
      <c r="V49" s="4">
        <f t="shared" si="67"/>
        <v>4.8235599394070981E-4</v>
      </c>
      <c r="W49" t="str">
        <f t="shared" si="52"/>
        <v>1-0.000280626015579407i</v>
      </c>
      <c r="X49" s="4">
        <f t="shared" si="68"/>
        <v>1.0000000393754795</v>
      </c>
      <c r="Y49" s="4">
        <f t="shared" si="69"/>
        <v>-2.8062600821288455E-4</v>
      </c>
      <c r="Z49" t="str">
        <f t="shared" si="53"/>
        <v>0.999999999583131+0.000187847618591929i</v>
      </c>
      <c r="AA49" s="4">
        <f t="shared" si="70"/>
        <v>1.0000000172264947</v>
      </c>
      <c r="AB49" s="4">
        <f t="shared" si="71"/>
        <v>1.8784761646072764E-4</v>
      </c>
      <c r="AC49" s="47" t="str">
        <f t="shared" si="72"/>
        <v>19.6007305448373-0.608380785340687i</v>
      </c>
      <c r="AD49" s="20">
        <f t="shared" si="73"/>
        <v>25.849627144784396</v>
      </c>
      <c r="AE49" s="43">
        <f t="shared" si="74"/>
        <v>-1.7778145449296616</v>
      </c>
      <c r="AF49" t="str">
        <f t="shared" si="54"/>
        <v>72.2956529813786</v>
      </c>
      <c r="AG49" t="str">
        <f t="shared" si="55"/>
        <v>1+0.0253236916458857i</v>
      </c>
      <c r="AH49">
        <f t="shared" si="75"/>
        <v>1.0003205932892594</v>
      </c>
      <c r="AI49">
        <f t="shared" si="76"/>
        <v>2.531828045649194E-2</v>
      </c>
      <c r="AJ49" t="str">
        <f t="shared" si="56"/>
        <v>1+0.000482356031350203i</v>
      </c>
      <c r="AK49">
        <f t="shared" si="77"/>
        <v>1.0000001163336638</v>
      </c>
      <c r="AL49">
        <f t="shared" si="78"/>
        <v>4.8235599394070981E-4</v>
      </c>
      <c r="AM49" t="str">
        <f t="shared" si="57"/>
        <v>1-0.0000621062791343763i</v>
      </c>
      <c r="AN49">
        <f t="shared" si="79"/>
        <v>1.0000000019285948</v>
      </c>
      <c r="AO49">
        <f t="shared" si="80"/>
        <v>-6.2106279054524393E-5</v>
      </c>
      <c r="AP49" s="41" t="str">
        <f t="shared" si="81"/>
        <v>72.2500913226729-1.79925680379075i</v>
      </c>
      <c r="AQ49">
        <f t="shared" si="82"/>
        <v>37.179460528900222</v>
      </c>
      <c r="AR49" s="43">
        <f t="shared" si="83"/>
        <v>-1.4265520796809927</v>
      </c>
      <c r="AS49" t="str">
        <f t="shared" si="58"/>
        <v>-0.0000166666666666667</v>
      </c>
      <c r="AT49" t="str">
        <f t="shared" si="59"/>
        <v>4.36173007071994E-07i</v>
      </c>
      <c r="AU49">
        <f t="shared" si="84"/>
        <v>4.3617300707199401E-7</v>
      </c>
      <c r="AV49">
        <f t="shared" si="85"/>
        <v>1.5707963267948966</v>
      </c>
      <c r="AW49" t="str">
        <f t="shared" si="60"/>
        <v>1+0.000435795694782138i</v>
      </c>
      <c r="AX49">
        <f t="shared" si="86"/>
        <v>1.0000000949589394</v>
      </c>
      <c r="AY49">
        <f t="shared" si="87"/>
        <v>4.3579566719367525E-4</v>
      </c>
      <c r="AZ49" t="str">
        <f t="shared" si="61"/>
        <v>1+0.0148170536225927i</v>
      </c>
      <c r="BA49">
        <f t="shared" si="88"/>
        <v>1.0001097665146836</v>
      </c>
      <c r="BB49">
        <f t="shared" si="89"/>
        <v>1.4815969428342119E-2</v>
      </c>
      <c r="BC49" s="41" t="str">
        <f t="shared" si="90"/>
        <v>-0.549524117088828+38.2113767960291i</v>
      </c>
      <c r="BD49">
        <f t="shared" si="91"/>
        <v>31.64475182702644</v>
      </c>
      <c r="BE49" s="43">
        <f t="shared" si="92"/>
        <v>90.823923265178564</v>
      </c>
      <c r="BF49" s="41" t="str">
        <f t="shared" si="93"/>
        <v>12.4759932771693+749.305220240133i</v>
      </c>
      <c r="BG49" s="20">
        <f t="shared" si="94"/>
        <v>57.494378971810832</v>
      </c>
      <c r="BH49" s="43">
        <f t="shared" si="95"/>
        <v>89.046108720248924</v>
      </c>
      <c r="BI49" s="41" t="str">
        <f t="shared" si="96"/>
        <v>29.0489120387883+2761.76419808469i</v>
      </c>
      <c r="BJ49" s="20">
        <f t="shared" si="97"/>
        <v>68.824212355926676</v>
      </c>
      <c r="BK49" s="43">
        <f t="shared" si="98"/>
        <v>89.397371185497576</v>
      </c>
      <c r="BL49">
        <f t="shared" si="99"/>
        <v>57.494378971810832</v>
      </c>
      <c r="BM49" s="43">
        <f t="shared" si="100"/>
        <v>89.046108720248924</v>
      </c>
    </row>
    <row r="50" spans="1:65" x14ac:dyDescent="0.25">
      <c r="B50" s="1"/>
      <c r="J50">
        <f>Lm*Fsw</f>
        <v>2</v>
      </c>
      <c r="N50" s="9">
        <v>32</v>
      </c>
      <c r="O50" s="34">
        <f t="shared" si="62"/>
        <v>20.8929613085404</v>
      </c>
      <c r="P50" s="33" t="str">
        <f t="shared" si="50"/>
        <v>19.6196196196196</v>
      </c>
      <c r="Q50" s="4" t="str">
        <f t="shared" si="63"/>
        <v>1+0.0317758822271213i</v>
      </c>
      <c r="R50" s="4">
        <f t="shared" si="64"/>
        <v>1.0005047259715028</v>
      </c>
      <c r="S50" s="4">
        <f t="shared" si="65"/>
        <v>3.1765193927967089E-2</v>
      </c>
      <c r="T50" s="4" t="str">
        <f t="shared" si="51"/>
        <v>1+0.000493591546665021i</v>
      </c>
      <c r="U50" s="4">
        <f t="shared" si="66"/>
        <v>1.0000001218163002</v>
      </c>
      <c r="V50" s="4">
        <f t="shared" si="67"/>
        <v>4.935915065800271E-4</v>
      </c>
      <c r="W50" t="str">
        <f t="shared" si="52"/>
        <v>1-0.000287162635194079i</v>
      </c>
      <c r="X50" s="4">
        <f t="shared" si="68"/>
        <v>1.0000000412311887</v>
      </c>
      <c r="Y50" s="4">
        <f t="shared" si="69"/>
        <v>-2.8716262730070805E-4</v>
      </c>
      <c r="Z50" t="str">
        <f t="shared" si="53"/>
        <v>0.999999999563484+0.00019222315172175i</v>
      </c>
      <c r="AA50" s="4">
        <f t="shared" si="70"/>
        <v>1.0000000180383537</v>
      </c>
      <c r="AB50" s="4">
        <f t="shared" si="71"/>
        <v>1.9222314943812671E-4</v>
      </c>
      <c r="AC50" s="47" t="str">
        <f t="shared" si="72"/>
        <v>19.5998412281171-0.622523535478616i</v>
      </c>
      <c r="AD50" s="20">
        <f t="shared" si="73"/>
        <v>25.849430034042911</v>
      </c>
      <c r="AE50" s="43">
        <f t="shared" si="74"/>
        <v>-1.8191976191223009</v>
      </c>
      <c r="AF50" t="str">
        <f t="shared" si="54"/>
        <v>72.2956529813786</v>
      </c>
      <c r="AG50" t="str">
        <f t="shared" si="55"/>
        <v>1+0.0259135561999136i</v>
      </c>
      <c r="AH50">
        <f t="shared" si="75"/>
        <v>1.0003356998502684</v>
      </c>
      <c r="AI50">
        <f t="shared" si="76"/>
        <v>2.5907758111099199E-2</v>
      </c>
      <c r="AJ50" t="str">
        <f t="shared" si="56"/>
        <v>1+0.000493591546665021i</v>
      </c>
      <c r="AK50">
        <f t="shared" si="77"/>
        <v>1.0000001218163002</v>
      </c>
      <c r="AL50">
        <f t="shared" si="78"/>
        <v>4.935915065800271E-4</v>
      </c>
      <c r="AM50" t="str">
        <f t="shared" si="57"/>
        <v>1-0.0000635529202148401i</v>
      </c>
      <c r="AN50">
        <f t="shared" si="79"/>
        <v>1.0000000020194868</v>
      </c>
      <c r="AO50">
        <f t="shared" si="80"/>
        <v>-6.3552920129277246E-5</v>
      </c>
      <c r="AP50" s="41" t="str">
        <f t="shared" si="81"/>
        <v>72.2479455087919-1.84111127296394i</v>
      </c>
      <c r="AQ50">
        <f t="shared" si="82"/>
        <v>37.179329406432799</v>
      </c>
      <c r="AR50" s="43">
        <f t="shared" si="83"/>
        <v>-1.4597658003804073</v>
      </c>
      <c r="AS50" t="str">
        <f t="shared" si="58"/>
        <v>-0.0000166666666666667</v>
      </c>
      <c r="AT50" t="str">
        <f t="shared" si="59"/>
        <v>4.46332781558795E-07i</v>
      </c>
      <c r="AU50">
        <f t="shared" si="84"/>
        <v>4.4633278155879502E-7</v>
      </c>
      <c r="AV50">
        <f t="shared" si="85"/>
        <v>1.5707963267948966</v>
      </c>
      <c r="AW50" t="str">
        <f t="shared" si="60"/>
        <v>1+0.000445946680536687i</v>
      </c>
      <c r="AX50">
        <f t="shared" si="86"/>
        <v>1.000000099434216</v>
      </c>
      <c r="AY50">
        <f t="shared" si="87"/>
        <v>4.4594665097511671E-4</v>
      </c>
      <c r="AZ50" t="str">
        <f t="shared" si="61"/>
        <v>1+0.0151621871382473i</v>
      </c>
      <c r="BA50">
        <f t="shared" si="88"/>
        <v>1.0001149393538802</v>
      </c>
      <c r="BB50">
        <f t="shared" si="89"/>
        <v>1.5161025410387982E-2</v>
      </c>
      <c r="BC50" s="41" t="str">
        <f t="shared" si="90"/>
        <v>-0.549524112170285+37.3415906984921i</v>
      </c>
      <c r="BD50">
        <f t="shared" si="91"/>
        <v>31.444796713817553</v>
      </c>
      <c r="BE50" s="43">
        <f t="shared" si="92"/>
        <v>90.843111908116953</v>
      </c>
      <c r="BF50" s="41" t="str">
        <f t="shared" si="93"/>
        <v>12.4754337124611+732.231340588918i</v>
      </c>
      <c r="BG50" s="20">
        <f t="shared" si="94"/>
        <v>57.294226747860449</v>
      </c>
      <c r="BH50" s="43">
        <f t="shared" si="95"/>
        <v>89.023914288994661</v>
      </c>
      <c r="BI50" s="41" t="str">
        <f t="shared" ref="BI50:BI113" si="101">IMPRODUCT(AP50,BC50)</f>
        <v>29.0480354735532+2698.86494503395i</v>
      </c>
      <c r="BJ50" s="20">
        <f t="shared" si="97"/>
        <v>68.624126120250352</v>
      </c>
      <c r="BK50" s="43">
        <f t="shared" ref="BK50:BK113" si="102">(180/PI())*IMARGUMENT(BI50)</f>
        <v>89.383346107736557</v>
      </c>
      <c r="BL50">
        <f t="shared" si="99"/>
        <v>57.294226747860449</v>
      </c>
      <c r="BM50" s="43">
        <f t="shared" si="100"/>
        <v>89.023914288994661</v>
      </c>
    </row>
    <row r="51" spans="1:65" x14ac:dyDescent="0.25">
      <c r="A51" t="s">
        <v>210</v>
      </c>
      <c r="B51" s="1">
        <f>2*PI()*Fsw</f>
        <v>12566370.614359172</v>
      </c>
      <c r="C51" t="s">
        <v>216</v>
      </c>
      <c r="N51" s="9">
        <v>33</v>
      </c>
      <c r="O51" s="34">
        <f t="shared" si="62"/>
        <v>21.379620895022335</v>
      </c>
      <c r="P51" s="33" t="str">
        <f t="shared" si="50"/>
        <v>19.6196196196196</v>
      </c>
      <c r="Q51" s="4" t="str">
        <f t="shared" si="63"/>
        <v>1+0.0325160376065517i</v>
      </c>
      <c r="R51" s="4">
        <f t="shared" si="64"/>
        <v>1.000528506691154</v>
      </c>
      <c r="S51" s="4">
        <f t="shared" si="65"/>
        <v>3.2504585214376921E-2</v>
      </c>
      <c r="T51" s="4" t="str">
        <f t="shared" si="51"/>
        <v>1+0.000505088770751334i</v>
      </c>
      <c r="U51" s="4">
        <f t="shared" si="66"/>
        <v>1.0000001275573249</v>
      </c>
      <c r="V51" s="4">
        <f t="shared" si="67"/>
        <v>5.0508872779948951E-4</v>
      </c>
      <c r="W51" t="str">
        <f t="shared" si="52"/>
        <v>1-0.000293851512238974i</v>
      </c>
      <c r="X51" s="4">
        <f t="shared" si="68"/>
        <v>1.0000000431743548</v>
      </c>
      <c r="Y51" s="4">
        <f t="shared" si="69"/>
        <v>-2.9385150378107461E-4</v>
      </c>
      <c r="Z51" t="str">
        <f t="shared" si="53"/>
        <v>0.999999999542912+0.000196700604110987i</v>
      </c>
      <c r="AA51" s="4">
        <f t="shared" si="70"/>
        <v>1.0000000188884755</v>
      </c>
      <c r="AB51" s="4">
        <f t="shared" si="71"/>
        <v>1.9670060166404049E-4</v>
      </c>
      <c r="AC51" s="47" t="str">
        <f t="shared" si="72"/>
        <v>19.598910085732-0.636993694350642i</v>
      </c>
      <c r="AD51" s="20">
        <f t="shared" si="73"/>
        <v>25.849223643351937</v>
      </c>
      <c r="AE51" s="43">
        <f t="shared" si="74"/>
        <v>-1.861542660497848</v>
      </c>
      <c r="AF51" t="str">
        <f t="shared" si="54"/>
        <v>72.2956529813786</v>
      </c>
      <c r="AG51" t="str">
        <f t="shared" si="55"/>
        <v>1+0.026517160464445i</v>
      </c>
      <c r="AH51">
        <f t="shared" si="75"/>
        <v>1.0003515181170552</v>
      </c>
      <c r="AI51">
        <f t="shared" si="76"/>
        <v>2.651094781824934E-2</v>
      </c>
      <c r="AJ51" t="str">
        <f t="shared" si="56"/>
        <v>1+0.000505088770751334i</v>
      </c>
      <c r="AK51">
        <f t="shared" si="77"/>
        <v>1.0000001275573249</v>
      </c>
      <c r="AL51">
        <f t="shared" si="78"/>
        <v>5.0508872779948951E-4</v>
      </c>
      <c r="AM51" t="str">
        <f t="shared" si="57"/>
        <v>1-0.0000650332578948236i</v>
      </c>
      <c r="AN51">
        <f t="shared" si="79"/>
        <v>1.0000000021146622</v>
      </c>
      <c r="AO51">
        <f t="shared" si="80"/>
        <v>-6.5033257803141355E-5</v>
      </c>
      <c r="AP51" s="41" t="str">
        <f t="shared" si="81"/>
        <v>72.2456987047401-1.88393668476952i</v>
      </c>
      <c r="AQ51">
        <f t="shared" si="82"/>
        <v>37.179192108600006</v>
      </c>
      <c r="AR51" s="43">
        <f t="shared" si="83"/>
        <v>-1.4937520996948064</v>
      </c>
      <c r="AS51" t="str">
        <f t="shared" si="58"/>
        <v>-0.0000166666666666667</v>
      </c>
      <c r="AT51" t="str">
        <f t="shared" si="59"/>
        <v>4.56729207594292E-07i</v>
      </c>
      <c r="AU51">
        <f t="shared" si="84"/>
        <v>4.56729207594292E-7</v>
      </c>
      <c r="AV51">
        <f t="shared" si="85"/>
        <v>1.5707963267948966</v>
      </c>
      <c r="AW51" t="str">
        <f t="shared" si="60"/>
        <v>1+0.000456334113124055i</v>
      </c>
      <c r="AX51">
        <f t="shared" si="86"/>
        <v>1.0000001041204061</v>
      </c>
      <c r="AY51">
        <f t="shared" si="87"/>
        <v>4.563340814482619E-4</v>
      </c>
      <c r="AZ51" t="str">
        <f t="shared" si="61"/>
        <v>1+0.0155153598462178i</v>
      </c>
      <c r="BA51">
        <f t="shared" si="88"/>
        <v>1.0001203559528011</v>
      </c>
      <c r="BB51">
        <f t="shared" si="89"/>
        <v>1.5514115040479646E-2</v>
      </c>
      <c r="BC51" s="41" t="str">
        <f t="shared" si="90"/>
        <v>-0.549524107019934+36.4916036066174i</v>
      </c>
      <c r="BD51">
        <f t="shared" si="91"/>
        <v>31.244843715559803</v>
      </c>
      <c r="BE51" s="43">
        <f t="shared" si="92"/>
        <v>90.862747297784949</v>
      </c>
      <c r="BF51" s="41" t="str">
        <f t="shared" si="93"/>
        <v>12.4748478307326+715.545701361333i</v>
      </c>
      <c r="BG51" s="20">
        <f t="shared" si="94"/>
        <v>57.094067358911744</v>
      </c>
      <c r="BH51" s="43">
        <f t="shared" si="95"/>
        <v>89.001204637287103</v>
      </c>
      <c r="BI51" s="41" t="str">
        <f t="shared" si="101"/>
        <v>29.0471176538207+2637.39666804087i</v>
      </c>
      <c r="BJ51" s="20">
        <f t="shared" si="97"/>
        <v>68.424035824159816</v>
      </c>
      <c r="BK51" s="43">
        <f t="shared" si="102"/>
        <v>89.368995198090147</v>
      </c>
      <c r="BL51">
        <f t="shared" si="99"/>
        <v>57.094067358911744</v>
      </c>
      <c r="BM51" s="43">
        <f t="shared" si="100"/>
        <v>89.001204637287103</v>
      </c>
    </row>
    <row r="52" spans="1:65" x14ac:dyDescent="0.25">
      <c r="A52" t="s">
        <v>211</v>
      </c>
      <c r="B52" s="1">
        <f>1/(PI()*(((VIN_var/VOUT)*(1+(B48/B49)))-0.5))</f>
        <v>0.10869118064812366</v>
      </c>
      <c r="N52" s="9">
        <v>34</v>
      </c>
      <c r="O52" s="34">
        <f t="shared" si="62"/>
        <v>21.877616239495538</v>
      </c>
      <c r="P52" s="33" t="str">
        <f t="shared" si="50"/>
        <v>19.6196196196196</v>
      </c>
      <c r="Q52" s="4" t="str">
        <f t="shared" si="63"/>
        <v>1+0.0332734334195219i</v>
      </c>
      <c r="R52" s="4">
        <f t="shared" si="64"/>
        <v>1.0005534075558002</v>
      </c>
      <c r="S52" s="4">
        <f t="shared" si="65"/>
        <v>3.3261162326763634E-2</v>
      </c>
      <c r="T52" s="4" t="str">
        <f t="shared" si="51"/>
        <v>1+0.00051685379958954i</v>
      </c>
      <c r="U52" s="4">
        <f t="shared" si="66"/>
        <v>1.0000001335689161</v>
      </c>
      <c r="V52" s="4">
        <f t="shared" si="67"/>
        <v>5.1685375356580975E-4</v>
      </c>
      <c r="W52" t="str">
        <f t="shared" si="52"/>
        <v>1-0.000300696193245245i</v>
      </c>
      <c r="X52" s="4">
        <f t="shared" si="68"/>
        <v>1.0000000452090994</v>
      </c>
      <c r="Y52" s="4">
        <f t="shared" si="69"/>
        <v>-3.0069618418244255E-4</v>
      </c>
      <c r="Z52" t="str">
        <f t="shared" si="53"/>
        <v>0.99999999952137+0.000201282349764164i</v>
      </c>
      <c r="AA52" s="4">
        <f t="shared" si="70"/>
        <v>1.000000019778662</v>
      </c>
      <c r="AB52" s="4">
        <f t="shared" si="71"/>
        <v>2.0128234714221358E-4</v>
      </c>
      <c r="AC52" s="47" t="str">
        <f t="shared" si="72"/>
        <v>19.5979351548349-0.651798744285985i</v>
      </c>
      <c r="AD52" s="20">
        <f t="shared" si="73"/>
        <v>25.849007536285491</v>
      </c>
      <c r="AE52" s="43">
        <f t="shared" si="74"/>
        <v>-1.9048719355693509</v>
      </c>
      <c r="AF52" t="str">
        <f t="shared" si="54"/>
        <v>72.2956529813786</v>
      </c>
      <c r="AG52" t="str">
        <f t="shared" si="55"/>
        <v>1+0.0271348244784509i</v>
      </c>
      <c r="AH52">
        <f t="shared" si="75"/>
        <v>1.0003680816077032</v>
      </c>
      <c r="AI52">
        <f t="shared" si="76"/>
        <v>2.7128167640398243E-2</v>
      </c>
      <c r="AJ52" t="str">
        <f t="shared" si="56"/>
        <v>1+0.00051685379958954i</v>
      </c>
      <c r="AK52">
        <f t="shared" si="77"/>
        <v>1.0000001335689161</v>
      </c>
      <c r="AL52">
        <f t="shared" si="78"/>
        <v>5.1685375356580975E-4</v>
      </c>
      <c r="AM52" t="str">
        <f t="shared" si="57"/>
        <v>1-0.00006654807706896i</v>
      </c>
      <c r="AN52">
        <f t="shared" si="79"/>
        <v>1.0000000022143232</v>
      </c>
      <c r="AO52">
        <f t="shared" si="80"/>
        <v>-6.6548076970720705E-5</v>
      </c>
      <c r="AP52" s="41" t="str">
        <f t="shared" si="81"/>
        <v>72.2433461643856-1.9277553716557i</v>
      </c>
      <c r="AQ52">
        <f t="shared" si="82"/>
        <v>37.179048344775168</v>
      </c>
      <c r="AR52" s="43">
        <f t="shared" si="83"/>
        <v>-1.5285288969585147</v>
      </c>
      <c r="AS52" t="str">
        <f t="shared" si="58"/>
        <v>-0.0000166666666666667</v>
      </c>
      <c r="AT52" t="str">
        <f t="shared" si="59"/>
        <v>4.6736779750118E-07i</v>
      </c>
      <c r="AU52">
        <f t="shared" si="84"/>
        <v>4.6736779750118001E-7</v>
      </c>
      <c r="AV52">
        <f t="shared" si="85"/>
        <v>1.5707963267948966</v>
      </c>
      <c r="AW52" t="str">
        <f t="shared" si="60"/>
        <v>1+0.000466963500098499i</v>
      </c>
      <c r="AX52">
        <f t="shared" si="86"/>
        <v>1.0000001090274493</v>
      </c>
      <c r="AY52">
        <f t="shared" si="87"/>
        <v>4.6696346615727536E-4</v>
      </c>
      <c r="AZ52" t="str">
        <f t="shared" si="61"/>
        <v>1+0.0158767590033489i</v>
      </c>
      <c r="BA52">
        <f t="shared" si="88"/>
        <v>1.0001260277967225</v>
      </c>
      <c r="BB52">
        <f t="shared" si="89"/>
        <v>1.5875425179046786E-2</v>
      </c>
      <c r="BC52" s="41" t="str">
        <f t="shared" si="90"/>
        <v>-0.549524101626859+35.6609648459984i</v>
      </c>
      <c r="BD52">
        <f t="shared" si="91"/>
        <v>31.044892931879836</v>
      </c>
      <c r="BE52" s="43">
        <f t="shared" si="92"/>
        <v>90.882839824937477</v>
      </c>
      <c r="BF52" s="41" t="str">
        <f t="shared" si="93"/>
        <v>12.4742343969463+699.239455730119i</v>
      </c>
      <c r="BG52" s="20">
        <f t="shared" si="94"/>
        <v>56.893900468165334</v>
      </c>
      <c r="BH52" s="43">
        <f t="shared" si="95"/>
        <v>88.977967889368145</v>
      </c>
      <c r="BI52" s="41" t="str">
        <f t="shared" si="101"/>
        <v>29.0461566407963+2577.32677596421i</v>
      </c>
      <c r="BJ52" s="20">
        <f t="shared" si="97"/>
        <v>68.223941276654998</v>
      </c>
      <c r="BK52" s="43">
        <f t="shared" si="102"/>
        <v>89.354310927978972</v>
      </c>
      <c r="BL52">
        <f t="shared" si="99"/>
        <v>56.893900468165334</v>
      </c>
      <c r="BM52" s="43">
        <f t="shared" si="100"/>
        <v>88.977967889368145</v>
      </c>
    </row>
    <row r="53" spans="1:65" x14ac:dyDescent="0.25">
      <c r="N53" s="9">
        <v>35</v>
      </c>
      <c r="O53" s="34">
        <f t="shared" si="62"/>
        <v>22.387211385683404</v>
      </c>
      <c r="P53" s="33" t="str">
        <f t="shared" si="50"/>
        <v>19.6196196196196</v>
      </c>
      <c r="Q53" s="4" t="str">
        <f t="shared" si="63"/>
        <v>1+0.0340484712473171i</v>
      </c>
      <c r="R53" s="4">
        <f t="shared" si="64"/>
        <v>1.0005794812978523</v>
      </c>
      <c r="S53" s="4">
        <f t="shared" si="65"/>
        <v>3.4035322945774119E-2</v>
      </c>
      <c r="T53" s="4" t="str">
        <f t="shared" si="51"/>
        <v>1+0.000528892871153659i</v>
      </c>
      <c r="U53" s="4">
        <f t="shared" si="66"/>
        <v>1.0000001398638247</v>
      </c>
      <c r="V53" s="4">
        <f t="shared" si="67"/>
        <v>5.288928218383439E-4</v>
      </c>
      <c r="W53" t="str">
        <f t="shared" si="52"/>
        <v>1-0.000307700307353359i</v>
      </c>
      <c r="X53" s="4">
        <f t="shared" si="68"/>
        <v>1.0000000473397384</v>
      </c>
      <c r="Y53" s="4">
        <f t="shared" si="69"/>
        <v>-3.0770029764239131E-4</v>
      </c>
      <c r="Z53" t="str">
        <f t="shared" si="53"/>
        <v>0.999999999498813+0.000205970817983473i</v>
      </c>
      <c r="AA53" s="4">
        <f t="shared" si="70"/>
        <v>1.0000000207108015</v>
      </c>
      <c r="AB53" s="4">
        <f t="shared" si="71"/>
        <v>2.059708151740025E-4</v>
      </c>
      <c r="AC53" s="47" t="str">
        <f t="shared" si="72"/>
        <v>19.5969143808749-0.666946331642673i</v>
      </c>
      <c r="AD53" s="20">
        <f t="shared" si="73"/>
        <v>25.848781255938572</v>
      </c>
      <c r="AE53" s="43">
        <f t="shared" si="74"/>
        <v>-1.9492082194736935</v>
      </c>
      <c r="AF53" t="str">
        <f t="shared" si="54"/>
        <v>72.2956529813786</v>
      </c>
      <c r="AG53" t="str">
        <f t="shared" si="55"/>
        <v>1+0.0277668757355671i</v>
      </c>
      <c r="AH53">
        <f t="shared" si="75"/>
        <v>1.0003854254176809</v>
      </c>
      <c r="AI53">
        <f t="shared" si="76"/>
        <v>2.775974295349818E-2</v>
      </c>
      <c r="AJ53" t="str">
        <f t="shared" si="56"/>
        <v>1+0.000528892871153659i</v>
      </c>
      <c r="AK53">
        <f t="shared" si="77"/>
        <v>1.0000001398638247</v>
      </c>
      <c r="AL53">
        <f t="shared" si="78"/>
        <v>5.288928218383439E-4</v>
      </c>
      <c r="AM53" t="str">
        <f t="shared" si="57"/>
        <v>1-0.0000680981809144265i</v>
      </c>
      <c r="AN53">
        <f t="shared" si="79"/>
        <v>1.000000002318681</v>
      </c>
      <c r="AO53">
        <f t="shared" si="80"/>
        <v>-6.8098180809161193E-5</v>
      </c>
      <c r="AP53" s="41" t="str">
        <f t="shared" si="81"/>
        <v>72.2408829192081-1.97259016602411i</v>
      </c>
      <c r="AQ53">
        <f t="shared" si="82"/>
        <v>37.178897810674307</v>
      </c>
      <c r="AR53" s="43">
        <f t="shared" si="83"/>
        <v>-1.5641145234502578</v>
      </c>
      <c r="AS53" t="str">
        <f t="shared" si="58"/>
        <v>-0.0000166666666666667</v>
      </c>
      <c r="AT53" t="str">
        <f t="shared" si="59"/>
        <v>4.78254192000648E-07i</v>
      </c>
      <c r="AU53">
        <f t="shared" si="84"/>
        <v>4.7825419200064798E-7</v>
      </c>
      <c r="AV53">
        <f t="shared" si="85"/>
        <v>1.5707963267948966</v>
      </c>
      <c r="AW53" t="str">
        <f t="shared" si="60"/>
        <v>1+0.000477840477301688i</v>
      </c>
      <c r="AX53">
        <f t="shared" si="86"/>
        <v>1.0000001141657544</v>
      </c>
      <c r="AY53">
        <f t="shared" si="87"/>
        <v>4.7784044093301188E-4</v>
      </c>
      <c r="AZ53" t="str">
        <f t="shared" si="61"/>
        <v>1+0.0162465762282574i</v>
      </c>
      <c r="BA53">
        <f t="shared" si="88"/>
        <v>1.0001319669119373</v>
      </c>
      <c r="BB53">
        <f t="shared" si="89"/>
        <v>1.6245147019952944E-2</v>
      </c>
      <c r="BC53" s="41" t="str">
        <f t="shared" si="90"/>
        <v>-0.549524095979618+34.8492340009691i</v>
      </c>
      <c r="BD53">
        <f t="shared" si="91"/>
        <v>30.844944467094738</v>
      </c>
      <c r="BE53" s="43">
        <f t="shared" si="92"/>
        <v>90.903400121266685</v>
      </c>
      <c r="BF53" s="41" t="str">
        <f t="shared" si="93"/>
        <v>12.4735921183632+683.303958036029i</v>
      </c>
      <c r="BG53" s="20">
        <f t="shared" si="94"/>
        <v>56.69372572303331</v>
      </c>
      <c r="BH53" s="43">
        <f t="shared" si="95"/>
        <v>88.95419190179301</v>
      </c>
      <c r="BI53" s="41" t="str">
        <f t="shared" si="101"/>
        <v>29.0451504048374+2518.62341911582i</v>
      </c>
      <c r="BJ53" s="20">
        <f t="shared" si="97"/>
        <v>68.023842277769063</v>
      </c>
      <c r="BK53" s="43">
        <f t="shared" si="102"/>
        <v>89.339285597816442</v>
      </c>
      <c r="BL53">
        <f t="shared" si="99"/>
        <v>56.69372572303331</v>
      </c>
      <c r="BM53" s="43">
        <f t="shared" si="100"/>
        <v>88.95419190179301</v>
      </c>
    </row>
    <row r="54" spans="1:65" ht="15.75" x14ac:dyDescent="0.25">
      <c r="A54" s="35" t="s">
        <v>225</v>
      </c>
      <c r="N54" s="9">
        <v>36</v>
      </c>
      <c r="O54" s="34">
        <f t="shared" si="62"/>
        <v>22.908676527677727</v>
      </c>
      <c r="P54" s="33" t="str">
        <f t="shared" si="50"/>
        <v>19.6196196196196</v>
      </c>
      <c r="Q54" s="4" t="str">
        <f t="shared" si="63"/>
        <v>1+0.0348415620252523i</v>
      </c>
      <c r="R54" s="4">
        <f t="shared" si="64"/>
        <v>1.0006067831292969</v>
      </c>
      <c r="S54" s="4">
        <f t="shared" si="65"/>
        <v>3.4827473827705957E-2</v>
      </c>
      <c r="T54" s="4" t="str">
        <f t="shared" si="51"/>
        <v>1+0.000541212368718787i</v>
      </c>
      <c r="U54" s="4">
        <f t="shared" si="66"/>
        <v>1.0000001464554034</v>
      </c>
      <c r="V54" s="4">
        <f t="shared" si="67"/>
        <v>5.4121231587647527E-4</v>
      </c>
      <c r="W54" t="str">
        <f t="shared" si="52"/>
        <v>1-0.000314867568237327i</v>
      </c>
      <c r="X54" s="4">
        <f t="shared" si="68"/>
        <v>1.0000000495707915</v>
      </c>
      <c r="Y54" s="4">
        <f t="shared" si="69"/>
        <v>-3.1486755783183767E-4</v>
      </c>
      <c r="Z54" t="str">
        <f t="shared" si="53"/>
        <v>0.999999999475193+0.000210768494656823i</v>
      </c>
      <c r="AA54" s="4">
        <f t="shared" si="70"/>
        <v>1.0000000216868719</v>
      </c>
      <c r="AB54" s="4">
        <f t="shared" si="71"/>
        <v>2.1076849164642107E-4</v>
      </c>
      <c r="AC54" s="47" t="str">
        <f t="shared" si="72"/>
        <v>19.5958456133523-0.682444269899789i</v>
      </c>
      <c r="AD54" s="20">
        <f t="shared" si="73"/>
        <v>25.848544323970486</v>
      </c>
      <c r="AE54" s="43">
        <f t="shared" si="74"/>
        <v>-1.9945748071046947</v>
      </c>
      <c r="AF54" t="str">
        <f t="shared" si="54"/>
        <v>72.2956529813786</v>
      </c>
      <c r="AG54" t="str">
        <f t="shared" si="55"/>
        <v>1+0.0284136493577363i</v>
      </c>
      <c r="AH54">
        <f t="shared" si="75"/>
        <v>1.0004035862939638</v>
      </c>
      <c r="AI54">
        <f t="shared" si="76"/>
        <v>2.8406006610566831E-2</v>
      </c>
      <c r="AJ54" t="str">
        <f t="shared" si="56"/>
        <v>1+0.000541212368718787i</v>
      </c>
      <c r="AK54">
        <f t="shared" si="77"/>
        <v>1.0000001464554034</v>
      </c>
      <c r="AL54">
        <f t="shared" si="78"/>
        <v>5.4121231587647527E-4</v>
      </c>
      <c r="AM54" t="str">
        <f t="shared" si="57"/>
        <v>1-0.0000696843913167996i</v>
      </c>
      <c r="AN54">
        <f t="shared" si="79"/>
        <v>1.0000000024279572</v>
      </c>
      <c r="AO54">
        <f t="shared" si="80"/>
        <v>-6.9684391204005787E-5</v>
      </c>
      <c r="AP54" s="41" t="str">
        <f t="shared" si="81"/>
        <v>72.2383037679416-2.01846441043467i</v>
      </c>
      <c r="AQ54">
        <f t="shared" si="82"/>
        <v>37.178740187716187</v>
      </c>
      <c r="AR54" s="43">
        <f t="shared" si="83"/>
        <v>-1.6005277315999022</v>
      </c>
      <c r="AS54" t="str">
        <f t="shared" si="58"/>
        <v>-0.0000166666666666667</v>
      </c>
      <c r="AT54" t="str">
        <f t="shared" si="59"/>
        <v>4.89394163203157E-07i</v>
      </c>
      <c r="AU54">
        <f t="shared" si="84"/>
        <v>4.8939416320315697E-7</v>
      </c>
      <c r="AV54">
        <f t="shared" si="85"/>
        <v>1.5707963267948966</v>
      </c>
      <c r="AW54" t="str">
        <f t="shared" si="60"/>
        <v>1+0.000488970811850908i</v>
      </c>
      <c r="AX54">
        <f t="shared" si="86"/>
        <v>1.0000001195462203</v>
      </c>
      <c r="AY54">
        <f t="shared" si="87"/>
        <v>4.8897077288116968E-4</v>
      </c>
      <c r="AZ54" t="str">
        <f t="shared" si="61"/>
        <v>1+0.0166250076029308i</v>
      </c>
      <c r="BA54">
        <f t="shared" si="88"/>
        <v>1.0001381858912284</v>
      </c>
      <c r="BB54">
        <f t="shared" si="89"/>
        <v>1.6623476190068983E-2</v>
      </c>
      <c r="BC54" s="41" t="str">
        <f t="shared" si="90"/>
        <v>-0.549524090066226+34.0559806810911i</v>
      </c>
      <c r="BD54">
        <f t="shared" si="91"/>
        <v>30.644998430432935</v>
      </c>
      <c r="BE54" s="43">
        <f t="shared" si="92"/>
        <v>90.924439064935825</v>
      </c>
      <c r="BF54" s="41" t="str">
        <f t="shared" si="93"/>
        <v>12.4729196418729+667.730759204407i</v>
      </c>
      <c r="BG54" s="20">
        <f t="shared" si="94"/>
        <v>56.493542754403414</v>
      </c>
      <c r="BH54" s="43">
        <f t="shared" si="95"/>
        <v>88.929864257831127</v>
      </c>
      <c r="BI54" s="41" t="str">
        <f t="shared" si="101"/>
        <v>29.0440968212273+2461.25547237429i</v>
      </c>
      <c r="BJ54" s="20">
        <f t="shared" si="97"/>
        <v>67.82373861814915</v>
      </c>
      <c r="BK54" s="43">
        <f t="shared" si="102"/>
        <v>89.323911333335928</v>
      </c>
      <c r="BL54">
        <f t="shared" si="99"/>
        <v>56.493542754403414</v>
      </c>
      <c r="BM54" s="43">
        <f t="shared" si="100"/>
        <v>88.929864257831127</v>
      </c>
    </row>
    <row r="55" spans="1:65" x14ac:dyDescent="0.25">
      <c r="A55" t="s">
        <v>191</v>
      </c>
      <c r="N55" s="9">
        <v>37</v>
      </c>
      <c r="O55" s="34">
        <f t="shared" si="62"/>
        <v>23.442288153199236</v>
      </c>
      <c r="P55" s="33" t="str">
        <f t="shared" si="50"/>
        <v>19.6196196196196</v>
      </c>
      <c r="Q55" s="4" t="str">
        <f t="shared" si="63"/>
        <v>1+0.035653126260556i</v>
      </c>
      <c r="R55" s="4">
        <f t="shared" si="64"/>
        <v>1.000635370858012</v>
      </c>
      <c r="S55" s="4">
        <f t="shared" si="65"/>
        <v>3.563803100255368E-2</v>
      </c>
      <c r="T55" s="4" t="str">
        <f t="shared" si="51"/>
        <v>1+0.000553818824245603i</v>
      </c>
      <c r="U55" s="4">
        <f t="shared" si="66"/>
        <v>1.0000001533576333</v>
      </c>
      <c r="V55" s="4">
        <f t="shared" si="67"/>
        <v>5.5381876762404623E-4</v>
      </c>
      <c r="W55" t="str">
        <f t="shared" si="52"/>
        <v>1-0.000322201776073739i</v>
      </c>
      <c r="X55" s="4">
        <f t="shared" si="68"/>
        <v>1.0000000519069909</v>
      </c>
      <c r="Y55" s="4">
        <f t="shared" si="69"/>
        <v>-3.2220176492405632E-4</v>
      </c>
      <c r="Z55" t="str">
        <f t="shared" si="53"/>
        <v>0.999999999450459+0.00021567792357589i</v>
      </c>
      <c r="AA55" s="4">
        <f t="shared" si="70"/>
        <v>1.0000000227089421</v>
      </c>
      <c r="AB55" s="4">
        <f t="shared" si="71"/>
        <v>2.1567792035018634E-4</v>
      </c>
      <c r="AC55" s="47" t="str">
        <f t="shared" si="72"/>
        <v>19.5947266013813-0.698300542770259i</v>
      </c>
      <c r="AD55" s="20">
        <f t="shared" si="73"/>
        <v>25.848296239604057</v>
      </c>
      <c r="AE55" s="43">
        <f t="shared" si="74"/>
        <v>-2.0409955244547535</v>
      </c>
      <c r="AF55" t="str">
        <f t="shared" si="54"/>
        <v>72.2956529813786</v>
      </c>
      <c r="AG55" t="str">
        <f t="shared" si="55"/>
        <v>1+0.0290754882728942i</v>
      </c>
      <c r="AH55">
        <f t="shared" si="75"/>
        <v>1.0004226027126273</v>
      </c>
      <c r="AI55">
        <f t="shared" si="76"/>
        <v>2.9067299108582773E-2</v>
      </c>
      <c r="AJ55" t="str">
        <f t="shared" si="56"/>
        <v>1+0.000553818824245603i</v>
      </c>
      <c r="AK55">
        <f t="shared" si="77"/>
        <v>1.0000001533576333</v>
      </c>
      <c r="AL55">
        <f t="shared" si="78"/>
        <v>5.5381876762404623E-4</v>
      </c>
      <c r="AM55" t="str">
        <f t="shared" si="57"/>
        <v>1-0.0000713075493058309i</v>
      </c>
      <c r="AN55">
        <f t="shared" si="79"/>
        <v>1.0000000025423832</v>
      </c>
      <c r="AO55">
        <f t="shared" si="80"/>
        <v>-7.1307549184970151E-5</v>
      </c>
      <c r="AP55" s="41" t="str">
        <f t="shared" si="81"/>
        <v>72.2356032657419-2.06540196794587i</v>
      </c>
      <c r="AQ55">
        <f t="shared" si="82"/>
        <v>37.17857514235277</v>
      </c>
      <c r="AR55" s="43">
        <f t="shared" si="83"/>
        <v>-1.6377877043819005</v>
      </c>
      <c r="AS55" t="str">
        <f t="shared" si="58"/>
        <v>-0.0000166666666666667</v>
      </c>
      <c r="AT55" t="str">
        <f t="shared" si="59"/>
        <v>5.00793617668895E-07i</v>
      </c>
      <c r="AU55">
        <f t="shared" si="84"/>
        <v>5.00793617668895E-7</v>
      </c>
      <c r="AV55">
        <f t="shared" si="85"/>
        <v>1.5707963267948966</v>
      </c>
      <c r="AW55" t="str">
        <f t="shared" si="60"/>
        <v>1+0.000500360405196866i</v>
      </c>
      <c r="AX55">
        <f t="shared" si="86"/>
        <v>1.0000001251802597</v>
      </c>
      <c r="AY55">
        <f t="shared" si="87"/>
        <v>5.0036036344003939E-4</v>
      </c>
      <c r="AZ55" t="str">
        <f t="shared" si="61"/>
        <v>1+0.0170122537766934i</v>
      </c>
      <c r="BA55">
        <f t="shared" si="88"/>
        <v>1.0001446979205371</v>
      </c>
      <c r="BB55">
        <f t="shared" si="89"/>
        <v>1.7010612851069438E-2</v>
      </c>
      <c r="BC55" s="41" t="str">
        <f t="shared" si="90"/>
        <v>-0.549524083874146+33.2807842929539i</v>
      </c>
      <c r="BD55">
        <f t="shared" si="91"/>
        <v>30.445054936264945</v>
      </c>
      <c r="BE55" s="43">
        <f t="shared" si="92"/>
        <v>90.945967786236523</v>
      </c>
      <c r="BF55" s="41" t="str">
        <f t="shared" si="93"/>
        <v>12.4722155512012+652.511602266011i</v>
      </c>
      <c r="BG55" s="20">
        <f t="shared" si="94"/>
        <v>56.293351175868992</v>
      </c>
      <c r="BH55" s="43">
        <f t="shared" si="95"/>
        <v>88.904972261781779</v>
      </c>
      <c r="BI55" s="41" t="str">
        <f t="shared" si="101"/>
        <v>29.0429936657459+2405.19251868282i</v>
      </c>
      <c r="BJ55" s="20">
        <f t="shared" si="97"/>
        <v>67.623630078617708</v>
      </c>
      <c r="BK55" s="43">
        <f t="shared" si="102"/>
        <v>89.30818008185463</v>
      </c>
      <c r="BL55">
        <f t="shared" si="99"/>
        <v>56.293351175868992</v>
      </c>
      <c r="BM55" s="43">
        <f t="shared" si="100"/>
        <v>88.904972261781779</v>
      </c>
    </row>
    <row r="56" spans="1:65" x14ac:dyDescent="0.25">
      <c r="A56" t="s">
        <v>189</v>
      </c>
      <c r="B56" s="3">
        <f>RFBT</f>
        <v>20000</v>
      </c>
      <c r="C56" s="2" t="s">
        <v>36</v>
      </c>
      <c r="E56" t="s">
        <v>192</v>
      </c>
      <c r="N56" s="9">
        <v>38</v>
      </c>
      <c r="O56" s="34">
        <f t="shared" si="62"/>
        <v>23.988329190194907</v>
      </c>
      <c r="P56" s="33" t="str">
        <f t="shared" si="50"/>
        <v>19.6196196196196</v>
      </c>
      <c r="Q56" s="4" t="str">
        <f t="shared" si="63"/>
        <v>1+0.0364835942553277i</v>
      </c>
      <c r="R56" s="4">
        <f t="shared" si="64"/>
        <v>1.0006653050095158</v>
      </c>
      <c r="S56" s="4">
        <f t="shared" si="65"/>
        <v>3.6467419975718916E-2</v>
      </c>
      <c r="T56" s="4" t="str">
        <f t="shared" si="51"/>
        <v>1+0.00056671892184369i</v>
      </c>
      <c r="U56" s="4">
        <f t="shared" si="66"/>
        <v>1.0000001605851552</v>
      </c>
      <c r="V56" s="4">
        <f t="shared" si="67"/>
        <v>5.667188611725995E-4</v>
      </c>
      <c r="W56" t="str">
        <f t="shared" si="52"/>
        <v>1-0.000329706819556669i</v>
      </c>
      <c r="X56" s="4">
        <f t="shared" si="68"/>
        <v>1.0000000543532919</v>
      </c>
      <c r="Y56" s="4">
        <f t="shared" si="69"/>
        <v>-3.2970680760956877E-4</v>
      </c>
      <c r="Z56" t="str">
        <f t="shared" si="53"/>
        <v>0.99999999942456+0.000220701707784872i</v>
      </c>
      <c r="AA56" s="4">
        <f t="shared" si="70"/>
        <v>1.0000000237791815</v>
      </c>
      <c r="AB56" s="4">
        <f t="shared" si="71"/>
        <v>2.2070170432846828E-4</v>
      </c>
      <c r="AC56" s="47" t="str">
        <f t="shared" si="72"/>
        <v>19.5935549890515-0.714523307331001i</v>
      </c>
      <c r="AD56" s="20">
        <f t="shared" si="73"/>
        <v>25.8480364785785</v>
      </c>
      <c r="AE56" s="43">
        <f t="shared" si="74"/>
        <v>-2.0884947401662308</v>
      </c>
      <c r="AF56" t="str">
        <f t="shared" si="54"/>
        <v>72.2956529813786</v>
      </c>
      <c r="AG56" t="str">
        <f t="shared" si="55"/>
        <v>1+0.0297527433967938i</v>
      </c>
      <c r="AH56">
        <f t="shared" si="75"/>
        <v>1.0004425149600729</v>
      </c>
      <c r="AI56">
        <f t="shared" si="76"/>
        <v>2.9743968758750582E-2</v>
      </c>
      <c r="AJ56" t="str">
        <f t="shared" si="56"/>
        <v>1+0.00056671892184369i</v>
      </c>
      <c r="AK56">
        <f t="shared" si="77"/>
        <v>1.0000001605851552</v>
      </c>
      <c r="AL56">
        <f t="shared" si="78"/>
        <v>5.667188611725995E-4</v>
      </c>
      <c r="AM56" t="str">
        <f t="shared" si="57"/>
        <v>1-0.0000729685155013709i</v>
      </c>
      <c r="AN56">
        <f t="shared" si="79"/>
        <v>1.000000002662202</v>
      </c>
      <c r="AO56">
        <f t="shared" si="80"/>
        <v>-7.2968515371866274E-5</v>
      </c>
      <c r="AP56" s="41" t="str">
        <f t="shared" si="81"/>
        <v>72.2327757128557-2.11342723258642i</v>
      </c>
      <c r="AQ56">
        <f t="shared" si="82"/>
        <v>37.17840232536831</v>
      </c>
      <c r="AR56" s="43">
        <f t="shared" si="83"/>
        <v>-1.6759140648978785</v>
      </c>
      <c r="AS56" t="str">
        <f t="shared" si="58"/>
        <v>-0.0000166666666666667</v>
      </c>
      <c r="AT56" t="str">
        <f t="shared" si="59"/>
        <v>5.12458599539507E-07i</v>
      </c>
      <c r="AU56">
        <f t="shared" si="84"/>
        <v>5.1245859953950697E-7</v>
      </c>
      <c r="AV56">
        <f t="shared" si="85"/>
        <v>1.5707963267948966</v>
      </c>
      <c r="AW56" t="str">
        <f t="shared" si="60"/>
        <v>1+0.00051201529625271i</v>
      </c>
      <c r="AX56">
        <f t="shared" si="86"/>
        <v>1.0000001310798232</v>
      </c>
      <c r="AY56">
        <f t="shared" si="87"/>
        <v>5.120152515094644E-4</v>
      </c>
      <c r="AZ56" t="str">
        <f t="shared" si="61"/>
        <v>1+0.0174085200725921i</v>
      </c>
      <c r="BA56">
        <f t="shared" si="88"/>
        <v>1.0001515168068875</v>
      </c>
      <c r="BB56">
        <f t="shared" si="89"/>
        <v>1.7406761803493553E-2</v>
      </c>
      <c r="BC56" s="41" t="str">
        <f t="shared" si="90"/>
        <v>-0.549524077390241+32.5232338171719i</v>
      </c>
      <c r="BD56">
        <f t="shared" si="91"/>
        <v>30.245114104345461</v>
      </c>
      <c r="BE56" s="43">
        <f t="shared" si="92"/>
        <v>90.967997673371883</v>
      </c>
      <c r="BF56" s="41" t="str">
        <f t="shared" si="93"/>
        <v>12.4714783639916+637.638417979772i</v>
      </c>
      <c r="BG56" s="20">
        <f t="shared" si="94"/>
        <v>56.093150582923961</v>
      </c>
      <c r="BH56" s="43">
        <f t="shared" si="95"/>
        <v>88.879502933205671</v>
      </c>
      <c r="BI56" s="41" t="str">
        <f t="shared" si="101"/>
        <v>29.0418386100434+2350.40483292266i</v>
      </c>
      <c r="BJ56" s="20">
        <f t="shared" si="97"/>
        <v>67.423516429713771</v>
      </c>
      <c r="BK56" s="43">
        <f t="shared" si="102"/>
        <v>89.292083608474016</v>
      </c>
      <c r="BL56">
        <f t="shared" si="99"/>
        <v>56.093150582923961</v>
      </c>
      <c r="BM56" s="43">
        <f t="shared" si="100"/>
        <v>88.879502933205671</v>
      </c>
    </row>
    <row r="57" spans="1:65" x14ac:dyDescent="0.25">
      <c r="A57" t="s">
        <v>190</v>
      </c>
      <c r="B57" s="3">
        <f>RFBB</f>
        <v>11000</v>
      </c>
      <c r="C57" s="2" t="s">
        <v>36</v>
      </c>
      <c r="E57" t="s">
        <v>193</v>
      </c>
      <c r="N57" s="9">
        <v>39</v>
      </c>
      <c r="O57" s="34">
        <f t="shared" si="62"/>
        <v>24.547089156850316</v>
      </c>
      <c r="P57" s="33" t="str">
        <f t="shared" si="50"/>
        <v>19.6196196196196</v>
      </c>
      <c r="Q57" s="4" t="str">
        <f t="shared" si="63"/>
        <v>1+0.0373334063346912i</v>
      </c>
      <c r="R57" s="4">
        <f t="shared" si="64"/>
        <v>1.0006966489543927</v>
      </c>
      <c r="S57" s="4">
        <f t="shared" si="65"/>
        <v>3.7316075933406544E-2</v>
      </c>
      <c r="T57" s="4" t="str">
        <f t="shared" si="51"/>
        <v>1+0.000579919501315551i</v>
      </c>
      <c r="U57" s="4">
        <f t="shared" si="66"/>
        <v>1.0000001681533</v>
      </c>
      <c r="V57" s="4">
        <f t="shared" si="67"/>
        <v>5.7991943630530669E-4</v>
      </c>
      <c r="W57" t="str">
        <f t="shared" si="52"/>
        <v>1-0.000337386677959514i</v>
      </c>
      <c r="X57" s="4">
        <f t="shared" si="68"/>
        <v>1.0000000569148837</v>
      </c>
      <c r="Y57" s="4">
        <f t="shared" si="69"/>
        <v>-3.373866651579655E-4</v>
      </c>
      <c r="Z57" t="str">
        <f t="shared" si="53"/>
        <v>0.99999999939744+0.000225842510960654i</v>
      </c>
      <c r="AA57" s="4">
        <f t="shared" si="70"/>
        <v>1.0000000248998597</v>
      </c>
      <c r="AB57" s="4">
        <f t="shared" si="71"/>
        <v>2.2584250725705073E-4</v>
      </c>
      <c r="AC57" s="47" t="str">
        <f t="shared" si="72"/>
        <v>19.5923283105797-0.731120897167136i</v>
      </c>
      <c r="AD57" s="20">
        <f t="shared" si="73"/>
        <v>25.847764492053965</v>
      </c>
      <c r="AE57" s="43">
        <f t="shared" si="74"/>
        <v>-2.1370973772940256</v>
      </c>
      <c r="AF57" t="str">
        <f t="shared" si="54"/>
        <v>72.2956529813786</v>
      </c>
      <c r="AG57" t="str">
        <f t="shared" si="55"/>
        <v>1+0.0304457738190665i</v>
      </c>
      <c r="AH57">
        <f t="shared" si="75"/>
        <v>1.0004633652180581</v>
      </c>
      <c r="AI57">
        <f t="shared" si="76"/>
        <v>3.0436371860179588E-2</v>
      </c>
      <c r="AJ57" t="str">
        <f t="shared" si="56"/>
        <v>1+0.000579919501315551i</v>
      </c>
      <c r="AK57">
        <f t="shared" si="77"/>
        <v>1.0000001681533</v>
      </c>
      <c r="AL57">
        <f t="shared" si="78"/>
        <v>5.7991943630530669E-4</v>
      </c>
      <c r="AM57" t="str">
        <f t="shared" si="57"/>
        <v>1-0.0000746681705696823i</v>
      </c>
      <c r="AN57">
        <f t="shared" si="79"/>
        <v>1.0000000027876679</v>
      </c>
      <c r="AO57">
        <f t="shared" si="80"/>
        <v>-7.4668170430915593E-5</v>
      </c>
      <c r="AP57" s="41" t="str">
        <f t="shared" si="81"/>
        <v>72.2298151427708-2.1625651399538i</v>
      </c>
      <c r="AQ57">
        <f t="shared" si="82"/>
        <v>37.178221371146037</v>
      </c>
      <c r="AR57" s="43">
        <f t="shared" si="83"/>
        <v>-1.7149268861507871</v>
      </c>
      <c r="AS57" t="str">
        <f t="shared" si="58"/>
        <v>-0.0000166666666666667</v>
      </c>
      <c r="AT57" t="str">
        <f t="shared" si="59"/>
        <v>5.24395293742787E-07i</v>
      </c>
      <c r="AU57">
        <f t="shared" si="84"/>
        <v>5.24395293742787E-7</v>
      </c>
      <c r="AV57">
        <f t="shared" si="85"/>
        <v>1.5707963267948966</v>
      </c>
      <c r="AW57" t="str">
        <f t="shared" si="60"/>
        <v>1+0.000523941664595951i</v>
      </c>
      <c r="AX57">
        <f t="shared" si="86"/>
        <v>1.0000001372574245</v>
      </c>
      <c r="AY57">
        <f t="shared" si="87"/>
        <v>5.2394161665269992E-4</v>
      </c>
      <c r="AZ57" t="str">
        <f t="shared" si="61"/>
        <v>1+0.0178140165962623i</v>
      </c>
      <c r="BA57">
        <f t="shared" si="88"/>
        <v>1.0001586570076229</v>
      </c>
      <c r="BB57">
        <f t="shared" si="89"/>
        <v>1.7812132593120419E-2</v>
      </c>
      <c r="BC57" s="41" t="str">
        <f t="shared" si="90"/>
        <v>-0.549524070600759+31.7829275904554i</v>
      </c>
      <c r="BD57">
        <f t="shared" si="91"/>
        <v>30.045176060066257</v>
      </c>
      <c r="BE57" s="43">
        <f t="shared" si="92"/>
        <v>90.990540378367754</v>
      </c>
      <c r="BF57" s="41" t="str">
        <f t="shared" si="93"/>
        <v>12.4707065287556+623.103320555097i</v>
      </c>
      <c r="BG57" s="20">
        <f t="shared" si="94"/>
        <v>55.892940552120223</v>
      </c>
      <c r="BH57" s="43">
        <f t="shared" si="95"/>
        <v>88.853443001073742</v>
      </c>
      <c r="BI57" s="41" t="str">
        <f t="shared" si="101"/>
        <v>29.0406292167989+2296.86336615331i</v>
      </c>
      <c r="BJ57" s="20">
        <f t="shared" si="97"/>
        <v>67.223397431212291</v>
      </c>
      <c r="BK57" s="43">
        <f t="shared" si="102"/>
        <v>89.275613492216962</v>
      </c>
      <c r="BL57">
        <f t="shared" si="99"/>
        <v>55.892940552120223</v>
      </c>
      <c r="BM57" s="43">
        <f t="shared" si="100"/>
        <v>88.853443001073742</v>
      </c>
    </row>
    <row r="58" spans="1:65" x14ac:dyDescent="0.25">
      <c r="A58" t="s">
        <v>180</v>
      </c>
      <c r="B58" s="3">
        <f>RCOMP</f>
        <v>35000</v>
      </c>
      <c r="C58" s="2" t="s">
        <v>36</v>
      </c>
      <c r="E58" t="s">
        <v>186</v>
      </c>
      <c r="N58" s="9">
        <v>40</v>
      </c>
      <c r="O58" s="34">
        <f t="shared" si="62"/>
        <v>25.118864315095799</v>
      </c>
      <c r="P58" s="33" t="str">
        <f t="shared" si="50"/>
        <v>19.6196196196196</v>
      </c>
      <c r="Q58" s="4" t="str">
        <f t="shared" si="63"/>
        <v>1+0.0382030130802595i</v>
      </c>
      <c r="R58" s="4">
        <f t="shared" si="64"/>
        <v>1.0007294690416639</v>
      </c>
      <c r="S58" s="4">
        <f t="shared" si="65"/>
        <v>3.8184443951715857E-2</v>
      </c>
      <c r="T58" s="4" t="str">
        <f t="shared" si="51"/>
        <v>1+0.000593427561783156i</v>
      </c>
      <c r="U58" s="4">
        <f t="shared" si="66"/>
        <v>1.0000001760781201</v>
      </c>
      <c r="V58" s="4">
        <f t="shared" si="67"/>
        <v>5.9342749212342501E-4</v>
      </c>
      <c r="W58" t="str">
        <f t="shared" si="52"/>
        <v>1-0.000345245423244855i</v>
      </c>
      <c r="X58" s="4">
        <f t="shared" si="68"/>
        <v>1.0000000595971994</v>
      </c>
      <c r="Y58" s="4">
        <f t="shared" si="69"/>
        <v>-3.4524540952774873E-4</v>
      </c>
      <c r="Z58" t="str">
        <f t="shared" si="53"/>
        <v>0.999999999369043+0.000231103058825127i</v>
      </c>
      <c r="AA58" s="4">
        <f t="shared" si="70"/>
        <v>1.0000000260733546</v>
      </c>
      <c r="AB58" s="4">
        <f t="shared" si="71"/>
        <v>2.3110305485664443E-4</v>
      </c>
      <c r="AC58" s="47" t="str">
        <f t="shared" si="72"/>
        <v>19.5910439852432-0.748101825526253i</v>
      </c>
      <c r="AD58" s="20">
        <f t="shared" si="73"/>
        <v>25.847479705465638</v>
      </c>
      <c r="AE58" s="43">
        <f t="shared" si="74"/>
        <v>-2.1868289252795239</v>
      </c>
      <c r="AF58" t="str">
        <f t="shared" si="54"/>
        <v>72.2956529813786</v>
      </c>
      <c r="AG58" t="str">
        <f t="shared" si="55"/>
        <v>1+0.0311549469936157i</v>
      </c>
      <c r="AH58">
        <f t="shared" si="75"/>
        <v>1.0004851976527065</v>
      </c>
      <c r="AI58">
        <f t="shared" si="76"/>
        <v>3.1144872877013539E-2</v>
      </c>
      <c r="AJ58" t="str">
        <f t="shared" si="56"/>
        <v>1+0.000593427561783156i</v>
      </c>
      <c r="AK58">
        <f t="shared" si="77"/>
        <v>1.0000001760781201</v>
      </c>
      <c r="AL58">
        <f t="shared" si="78"/>
        <v>5.9342749212342501E-4</v>
      </c>
      <c r="AM58" t="str">
        <f t="shared" si="57"/>
        <v>1-0.0000764074156903802i</v>
      </c>
      <c r="AN58">
        <f t="shared" si="79"/>
        <v>1.0000000029190466</v>
      </c>
      <c r="AO58">
        <f t="shared" si="80"/>
        <v>-7.6407415541689005E-5</v>
      </c>
      <c r="AP58" s="41" t="str">
        <f t="shared" si="81"/>
        <v>72.2267153098235-2.21284117793422i</v>
      </c>
      <c r="AQ58">
        <f t="shared" si="82"/>
        <v>37.178031896900691</v>
      </c>
      <c r="AR58" s="43">
        <f t="shared" si="83"/>
        <v>-1.7548467010126831</v>
      </c>
      <c r="AS58" t="str">
        <f t="shared" si="58"/>
        <v>-0.0000166666666666667</v>
      </c>
      <c r="AT58" t="str">
        <f t="shared" si="59"/>
        <v>5.36610029272002E-07i</v>
      </c>
      <c r="AU58">
        <f t="shared" si="84"/>
        <v>5.3661002927200201E-7</v>
      </c>
      <c r="AV58">
        <f t="shared" si="85"/>
        <v>1.5707963267948966</v>
      </c>
      <c r="AW58" t="str">
        <f t="shared" si="60"/>
        <v>1+0.000536145833744952i</v>
      </c>
      <c r="AX58">
        <f t="shared" si="86"/>
        <v>1.0000001437261672</v>
      </c>
      <c r="AY58">
        <f t="shared" si="87"/>
        <v>5.3614578237283332E-4</v>
      </c>
      <c r="AZ58" t="str">
        <f t="shared" si="61"/>
        <v>1+0.0182289583473283i</v>
      </c>
      <c r="BA58">
        <f t="shared" si="88"/>
        <v>1.0001661336610177</v>
      </c>
      <c r="BB58">
        <f t="shared" si="89"/>
        <v>1.8226939619700788E-2</v>
      </c>
      <c r="BC58" s="41" t="str">
        <f t="shared" si="90"/>
        <v>-0.549524063491301+31.0594730926437i</v>
      </c>
      <c r="BD58">
        <f t="shared" si="91"/>
        <v>29.84524093472124</v>
      </c>
      <c r="BE58" s="43">
        <f t="shared" si="92"/>
        <v>91.013607823114938</v>
      </c>
      <c r="BF58" s="41" t="str">
        <f t="shared" si="93"/>
        <v>12.4698984216826+608.898603471529i</v>
      </c>
      <c r="BG58" s="20">
        <f t="shared" si="94"/>
        <v>55.692720640186877</v>
      </c>
      <c r="BH58" s="43">
        <f t="shared" si="95"/>
        <v>88.826778897835425</v>
      </c>
      <c r="BI58" s="41" t="str">
        <f t="shared" si="101"/>
        <v>29.0393629346583+2244.53973021146i</v>
      </c>
      <c r="BJ58" s="20">
        <f t="shared" si="97"/>
        <v>67.023272831621938</v>
      </c>
      <c r="BK58" s="43">
        <f t="shared" si="102"/>
        <v>89.258761122102257</v>
      </c>
      <c r="BL58">
        <f t="shared" si="99"/>
        <v>55.692720640186877</v>
      </c>
      <c r="BM58" s="43">
        <f t="shared" si="100"/>
        <v>88.826778897835425</v>
      </c>
    </row>
    <row r="59" spans="1:65" x14ac:dyDescent="0.25">
      <c r="A59" t="s">
        <v>184</v>
      </c>
      <c r="B59" s="3">
        <f>CCOMP</f>
        <v>3.3000000000000002E-9</v>
      </c>
      <c r="C59" s="2" t="s">
        <v>162</v>
      </c>
      <c r="E59" t="s">
        <v>187</v>
      </c>
      <c r="N59" s="9">
        <v>41</v>
      </c>
      <c r="O59" s="34">
        <f t="shared" si="62"/>
        <v>25.703957827688647</v>
      </c>
      <c r="P59" s="33" t="str">
        <f t="shared" si="50"/>
        <v>19.6196196196196</v>
      </c>
      <c r="Q59" s="4" t="str">
        <f t="shared" si="63"/>
        <v>1+0.0390928755690395i</v>
      </c>
      <c r="R59" s="4">
        <f t="shared" si="64"/>
        <v>1.0007638347383745</v>
      </c>
      <c r="S59" s="4">
        <f t="shared" si="65"/>
        <v>3.9072979209440799E-2</v>
      </c>
      <c r="T59" s="4" t="str">
        <f t="shared" si="51"/>
        <v>1+0.000607250265398956i</v>
      </c>
      <c r="U59" s="4">
        <f t="shared" si="66"/>
        <v>1.0000001843764255</v>
      </c>
      <c r="V59" s="4">
        <f t="shared" si="67"/>
        <v>6.0725019075721009E-4</v>
      </c>
      <c r="W59" t="str">
        <f t="shared" si="52"/>
        <v>1-0.000353287222223462i</v>
      </c>
      <c r="X59" s="4">
        <f t="shared" si="68"/>
        <v>1.0000000624059286</v>
      </c>
      <c r="Y59" s="4">
        <f t="shared" si="69"/>
        <v>-3.5328720752531782E-4</v>
      </c>
      <c r="Z59" t="str">
        <f t="shared" si="53"/>
        <v>0.999999999339307+0.000236486140590399i</v>
      </c>
      <c r="AA59" s="4">
        <f t="shared" si="70"/>
        <v>1.0000000273021539</v>
      </c>
      <c r="AB59" s="4">
        <f t="shared" si="71"/>
        <v>2.3648613633809329E-4</v>
      </c>
      <c r="AC59" s="47" t="str">
        <f t="shared" si="72"/>
        <v>19.5896993120842-0.765474788478762i</v>
      </c>
      <c r="AD59" s="20">
        <f t="shared" si="73"/>
        <v>25.847181517324657</v>
      </c>
      <c r="AE59" s="43">
        <f t="shared" si="74"/>
        <v>-2.2377154521371647</v>
      </c>
      <c r="AF59" t="str">
        <f t="shared" si="54"/>
        <v>72.2956529813786</v>
      </c>
      <c r="AG59" t="str">
        <f t="shared" si="55"/>
        <v>1+0.0318806389334452i</v>
      </c>
      <c r="AH59">
        <f t="shared" si="75"/>
        <v>1.0005080585076787</v>
      </c>
      <c r="AI59">
        <f t="shared" si="76"/>
        <v>3.186984461905093E-2</v>
      </c>
      <c r="AJ59" t="str">
        <f t="shared" si="56"/>
        <v>1+0.000607250265398956i</v>
      </c>
      <c r="AK59">
        <f t="shared" si="77"/>
        <v>1.0000001843764255</v>
      </c>
      <c r="AL59">
        <f t="shared" si="78"/>
        <v>6.0725019075721009E-4</v>
      </c>
      <c r="AM59" t="str">
        <f t="shared" si="57"/>
        <v>1-0.0000781871730342484i</v>
      </c>
      <c r="AN59">
        <f t="shared" si="79"/>
        <v>1.000000003056617</v>
      </c>
      <c r="AO59">
        <f t="shared" si="80"/>
        <v>-7.8187172874922902E-5</v>
      </c>
      <c r="AP59" s="41" t="str">
        <f t="shared" si="81"/>
        <v>72.2234696762384-2.26428139753793i</v>
      </c>
      <c r="AQ59">
        <f t="shared" si="82"/>
        <v>37.177833501875369</v>
      </c>
      <c r="AR59" s="43">
        <f t="shared" si="83"/>
        <v>-1.7956945123882253</v>
      </c>
      <c r="AS59" t="str">
        <f t="shared" si="58"/>
        <v>-0.0000166666666666667</v>
      </c>
      <c r="AT59" t="str">
        <f t="shared" si="59"/>
        <v>5.4910928254161E-07i</v>
      </c>
      <c r="AU59">
        <f t="shared" si="84"/>
        <v>5.4910928254160998E-7</v>
      </c>
      <c r="AV59">
        <f t="shared" si="85"/>
        <v>1.5707963267948966</v>
      </c>
      <c r="AW59" t="str">
        <f t="shared" si="60"/>
        <v>1+0.00054863427451173i</v>
      </c>
      <c r="AX59">
        <f t="shared" si="86"/>
        <v>1.0000001504997722</v>
      </c>
      <c r="AY59">
        <f t="shared" si="87"/>
        <v>5.4863421946551346E-4</v>
      </c>
      <c r="AZ59" t="str">
        <f t="shared" si="61"/>
        <v>1+0.0186535653333988i</v>
      </c>
      <c r="BA59">
        <f t="shared" si="88"/>
        <v>1.0001739626183273</v>
      </c>
      <c r="BB59">
        <f t="shared" si="89"/>
        <v>1.865140224809337E-2</v>
      </c>
      <c r="BC59" s="41" t="str">
        <f t="shared" si="90"/>
        <v>-0.549524056046784+30.3524867385862i</v>
      </c>
      <c r="BD59">
        <f t="shared" si="91"/>
        <v>29.645308865784092</v>
      </c>
      <c r="BE59" s="43">
        <f t="shared" si="92"/>
        <v>91.037212205544733</v>
      </c>
      <c r="BF59" s="41" t="str">
        <f t="shared" si="93"/>
        <v>12.4690523433103+595.016735393493i</v>
      </c>
      <c r="BG59" s="20">
        <f t="shared" si="94"/>
        <v>55.492490383108745</v>
      </c>
      <c r="BH59" s="43">
        <f t="shared" si="95"/>
        <v>88.799496753407567</v>
      </c>
      <c r="BI59" s="41" t="str">
        <f t="shared" si="101"/>
        <v>29.038037092939+2193.40618266031i</v>
      </c>
      <c r="BJ59" s="20">
        <f t="shared" si="97"/>
        <v>66.823142367659443</v>
      </c>
      <c r="BK59" s="43">
        <f t="shared" si="102"/>
        <v>89.24151769315651</v>
      </c>
      <c r="BL59">
        <f t="shared" si="99"/>
        <v>55.492490383108745</v>
      </c>
      <c r="BM59" s="43">
        <f t="shared" si="100"/>
        <v>88.799496753407567</v>
      </c>
    </row>
    <row r="60" spans="1:65" x14ac:dyDescent="0.25">
      <c r="A60" t="s">
        <v>185</v>
      </c>
      <c r="B60" s="3">
        <f>CHF</f>
        <v>1E-10</v>
      </c>
      <c r="C60" s="2" t="s">
        <v>162</v>
      </c>
      <c r="E60" t="s">
        <v>188</v>
      </c>
      <c r="N60" s="9">
        <v>42</v>
      </c>
      <c r="O60" s="34">
        <f t="shared" si="62"/>
        <v>26.302679918953825</v>
      </c>
      <c r="P60" s="33" t="str">
        <f t="shared" si="50"/>
        <v>19.6196196196196</v>
      </c>
      <c r="Q60" s="4" t="str">
        <f t="shared" si="63"/>
        <v>1+0.0400034656179015i</v>
      </c>
      <c r="R60" s="4">
        <f t="shared" si="64"/>
        <v>1.0007998187756844</v>
      </c>
      <c r="S60" s="4">
        <f t="shared" si="65"/>
        <v>3.9982147204581812E-2</v>
      </c>
      <c r="T60" s="4" t="str">
        <f t="shared" si="51"/>
        <v>1+0.000621394941143379i</v>
      </c>
      <c r="U60" s="4">
        <f t="shared" si="66"/>
        <v>1.0000001930658178</v>
      </c>
      <c r="V60" s="4">
        <f t="shared" si="67"/>
        <v>6.2139486116330814E-4</v>
      </c>
      <c r="W60" t="str">
        <f t="shared" si="52"/>
        <v>1-0.000361516338763602i</v>
      </c>
      <c r="X60" s="4">
        <f t="shared" si="68"/>
        <v>1.0000000653470293</v>
      </c>
      <c r="Y60" s="4">
        <f t="shared" si="69"/>
        <v>-3.6151632301425682E-4</v>
      </c>
      <c r="Z60" t="str">
        <f t="shared" si="53"/>
        <v>0.999999999308169+0.000241994610437676i</v>
      </c>
      <c r="AA60" s="4">
        <f t="shared" si="70"/>
        <v>1.0000000285888644</v>
      </c>
      <c r="AB60" s="4">
        <f t="shared" si="71"/>
        <v>2.4199460588124851E-4</v>
      </c>
      <c r="AC60" s="47" t="str">
        <f t="shared" si="72"/>
        <v>19.5882914643775-0.783248668079638i</v>
      </c>
      <c r="AD60" s="20">
        <f t="shared" si="73"/>
        <v>25.846869297964439</v>
      </c>
      <c r="AE60" s="43">
        <f t="shared" si="74"/>
        <v>-2.2897836168532697</v>
      </c>
      <c r="AF60" t="str">
        <f t="shared" si="54"/>
        <v>72.2956529813786</v>
      </c>
      <c r="AG60" t="str">
        <f t="shared" si="55"/>
        <v>1+0.0326232344100274i</v>
      </c>
      <c r="AH60">
        <f t="shared" si="75"/>
        <v>1.0005319962017065</v>
      </c>
      <c r="AI60">
        <f t="shared" si="76"/>
        <v>3.2611668425893997E-2</v>
      </c>
      <c r="AJ60" t="str">
        <f t="shared" si="56"/>
        <v>1+0.000621394941143379i</v>
      </c>
      <c r="AK60">
        <f t="shared" si="77"/>
        <v>1.0000001930658178</v>
      </c>
      <c r="AL60">
        <f t="shared" si="78"/>
        <v>6.2139486116330814E-4</v>
      </c>
      <c r="AM60" t="str">
        <f t="shared" si="57"/>
        <v>1-0.000080008386252189i</v>
      </c>
      <c r="AN60">
        <f t="shared" si="79"/>
        <v>1.0000000032006708</v>
      </c>
      <c r="AO60">
        <f t="shared" si="80"/>
        <v>-8.0008386081468658E-5</v>
      </c>
      <c r="AP60" s="41" t="str">
        <f t="shared" si="81"/>
        <v>72.2200713985771-2.3169124238435i</v>
      </c>
      <c r="AQ60">
        <f t="shared" si="82"/>
        <v>37.177625766501158</v>
      </c>
      <c r="AR60" s="43">
        <f t="shared" si="83"/>
        <v>-1.8374918035761181</v>
      </c>
      <c r="AS60" t="str">
        <f t="shared" si="58"/>
        <v>-0.0000166666666666667</v>
      </c>
      <c r="AT60" t="str">
        <f t="shared" si="59"/>
        <v>5.61899680821142E-07i</v>
      </c>
      <c r="AU60">
        <f t="shared" si="84"/>
        <v>5.6189968082114198E-7</v>
      </c>
      <c r="AV60">
        <f t="shared" si="85"/>
        <v>1.5707963267948966</v>
      </c>
      <c r="AW60" t="str">
        <f t="shared" si="60"/>
        <v>1+0.000561413608432888i</v>
      </c>
      <c r="AX60">
        <f t="shared" si="86"/>
        <v>1.0000001575926074</v>
      </c>
      <c r="AY60">
        <f t="shared" si="87"/>
        <v>5.6141354944980496E-4</v>
      </c>
      <c r="AZ60" t="str">
        <f t="shared" si="61"/>
        <v>1+0.0190880626867182i</v>
      </c>
      <c r="BA60">
        <f t="shared" si="88"/>
        <v>1.0001821604773462</v>
      </c>
      <c r="BB60">
        <f t="shared" si="89"/>
        <v>1.9085744921852853E-2</v>
      </c>
      <c r="BC60" s="41" t="str">
        <f t="shared" si="90"/>
        <v>-0.549524048251419+29.6615936747597i</v>
      </c>
      <c r="BD60">
        <f t="shared" si="91"/>
        <v>29.445379997198472</v>
      </c>
      <c r="BE60" s="43">
        <f t="shared" si="92"/>
        <v>91.061366005940485</v>
      </c>
      <c r="BF60" s="41" t="str">
        <f t="shared" si="93"/>
        <v>12.4681665150415+581.450356178i</v>
      </c>
      <c r="BG60" s="20">
        <f t="shared" si="94"/>
        <v>55.292249295162918</v>
      </c>
      <c r="BH60" s="43">
        <f t="shared" si="95"/>
        <v>88.771582389087214</v>
      </c>
      <c r="BI60" s="41" t="str">
        <f t="shared" si="101"/>
        <v>29.0366488960959+2143.43561208132i</v>
      </c>
      <c r="BJ60" s="20">
        <f t="shared" si="97"/>
        <v>66.623005763699609</v>
      </c>
      <c r="BK60" s="43">
        <f t="shared" si="102"/>
        <v>89.223874202364371</v>
      </c>
      <c r="BL60">
        <f t="shared" si="99"/>
        <v>55.292249295162918</v>
      </c>
      <c r="BM60" s="43">
        <f t="shared" si="100"/>
        <v>88.771582389087214</v>
      </c>
    </row>
    <row r="61" spans="1:65" x14ac:dyDescent="0.25">
      <c r="N61" s="9">
        <v>43</v>
      </c>
      <c r="O61" s="34">
        <f t="shared" si="62"/>
        <v>26.915348039269158</v>
      </c>
      <c r="P61" s="33" t="str">
        <f t="shared" si="50"/>
        <v>19.6196196196196</v>
      </c>
      <c r="Q61" s="4" t="str">
        <f t="shared" si="63"/>
        <v>1+0.0409352660337428i</v>
      </c>
      <c r="R61" s="4">
        <f t="shared" si="64"/>
        <v>1.0008374973017615</v>
      </c>
      <c r="S61" s="4">
        <f t="shared" si="65"/>
        <v>4.0912423974567902E-2</v>
      </c>
      <c r="T61" s="4" t="str">
        <f t="shared" si="51"/>
        <v>1+0.000635869088710733i</v>
      </c>
      <c r="U61" s="4">
        <f t="shared" si="66"/>
        <v>1.0000002021647285</v>
      </c>
      <c r="V61" s="4">
        <f t="shared" si="67"/>
        <v>6.3586900301054402E-4</v>
      </c>
      <c r="W61" t="str">
        <f t="shared" si="52"/>
        <v>1-0.00036993713605179i</v>
      </c>
      <c r="X61" s="4">
        <f t="shared" si="68"/>
        <v>1.0000000684267398</v>
      </c>
      <c r="Y61" s="4">
        <f t="shared" si="69"/>
        <v>-3.6993711917606266E-4</v>
      </c>
      <c r="Z61" t="str">
        <f t="shared" si="53"/>
        <v>0.999999999275564+0.000247631389030586i</v>
      </c>
      <c r="AA61" s="4">
        <f t="shared" si="70"/>
        <v>1.000000029936216</v>
      </c>
      <c r="AB61" s="4">
        <f t="shared" si="71"/>
        <v>2.4763138414828594E-4</v>
      </c>
      <c r="AC61" s="47" t="str">
        <f t="shared" si="72"/>
        <v>19.586817483849-0.801432535526643i</v>
      </c>
      <c r="AD61" s="20">
        <f t="shared" si="73"/>
        <v>25.846542388228684</v>
      </c>
      <c r="AE61" s="43">
        <f t="shared" si="74"/>
        <v>-2.3430606819975814</v>
      </c>
      <c r="AF61" t="str">
        <f t="shared" si="54"/>
        <v>72.2956529813786</v>
      </c>
      <c r="AG61" t="str">
        <f t="shared" si="55"/>
        <v>1+0.0333831271573135i</v>
      </c>
      <c r="AH61">
        <f t="shared" si="75"/>
        <v>1.0005570614306818</v>
      </c>
      <c r="AI61">
        <f t="shared" si="76"/>
        <v>3.3370734354656886E-2</v>
      </c>
      <c r="AJ61" t="str">
        <f t="shared" si="56"/>
        <v>1+0.000635869088710733i</v>
      </c>
      <c r="AK61">
        <f t="shared" si="77"/>
        <v>1.0000002021647285</v>
      </c>
      <c r="AL61">
        <f t="shared" si="78"/>
        <v>6.3586900301054402E-4</v>
      </c>
      <c r="AM61" t="str">
        <f t="shared" si="57"/>
        <v>1-0.000081872020975557i</v>
      </c>
      <c r="AN61">
        <f t="shared" si="79"/>
        <v>1.000000003351514</v>
      </c>
      <c r="AO61">
        <f t="shared" si="80"/>
        <v>-8.1872020792626862E-5</v>
      </c>
      <c r="AP61" s="41" t="str">
        <f t="shared" si="81"/>
        <v>72.2165133135682-2.37076146704299i</v>
      </c>
      <c r="AQ61">
        <f t="shared" si="82"/>
        <v>37.177408251517754</v>
      </c>
      <c r="AR61" s="43">
        <f t="shared" si="83"/>
        <v>-1.8802605488299939</v>
      </c>
      <c r="AS61" t="str">
        <f t="shared" si="58"/>
        <v>-0.0000166666666666667</v>
      </c>
      <c r="AT61" t="str">
        <f t="shared" si="59"/>
        <v>5.74988005749067E-07i</v>
      </c>
      <c r="AU61">
        <f t="shared" si="84"/>
        <v>5.7498800574906703E-7</v>
      </c>
      <c r="AV61">
        <f t="shared" si="85"/>
        <v>1.5707963267948966</v>
      </c>
      <c r="AW61" t="str">
        <f t="shared" si="60"/>
        <v>1+0.000574490611280427i</v>
      </c>
      <c r="AX61">
        <f t="shared" si="86"/>
        <v>1.0000001650197177</v>
      </c>
      <c r="AY61">
        <f t="shared" si="87"/>
        <v>5.7449054807891535E-4</v>
      </c>
      <c r="AZ61" t="str">
        <f t="shared" si="61"/>
        <v>1+0.0195326807835345i</v>
      </c>
      <c r="BA61">
        <f t="shared" si="88"/>
        <v>1.0001907446175411</v>
      </c>
      <c r="BB61">
        <f t="shared" si="89"/>
        <v>1.9530197279315778E-2</v>
      </c>
      <c r="BC61" s="41" t="str">
        <f t="shared" si="90"/>
        <v>-0.54952404008867+28.9864275805169i</v>
      </c>
      <c r="BD61">
        <f t="shared" si="91"/>
        <v>29.245454479682351</v>
      </c>
      <c r="BE61" s="43">
        <f t="shared" si="92"/>
        <v>91.086081993387594</v>
      </c>
      <c r="BF61" s="41" t="str">
        <f t="shared" si="93"/>
        <v>12.467239075509+568.192272973172i</v>
      </c>
      <c r="BG61" s="20">
        <f t="shared" si="94"/>
        <v>55.091996867911035</v>
      </c>
      <c r="BH61" s="43">
        <f t="shared" si="95"/>
        <v>88.743021311390024</v>
      </c>
      <c r="BI61" s="41" t="str">
        <f t="shared" si="101"/>
        <v>29.0351954179324+2094.60152370063i</v>
      </c>
      <c r="BJ61" s="20">
        <f t="shared" si="97"/>
        <v>66.422862731200084</v>
      </c>
      <c r="BK61" s="43">
        <f t="shared" si="102"/>
        <v>89.2058214445576</v>
      </c>
      <c r="BL61">
        <f t="shared" si="99"/>
        <v>55.091996867911035</v>
      </c>
      <c r="BM61" s="43">
        <f t="shared" si="100"/>
        <v>88.743021311390024</v>
      </c>
    </row>
    <row r="62" spans="1:65" x14ac:dyDescent="0.25">
      <c r="A62" t="s">
        <v>227</v>
      </c>
      <c r="B62" s="1">
        <f>(-gm_ea)/Kfb</f>
        <v>-1.6666666666666667E-5</v>
      </c>
      <c r="C62" t="s">
        <v>150</v>
      </c>
      <c r="N62" s="9">
        <v>44</v>
      </c>
      <c r="O62" s="34">
        <f t="shared" si="62"/>
        <v>27.542287033381665</v>
      </c>
      <c r="P62" s="33" t="str">
        <f t="shared" si="50"/>
        <v>19.6196196196196</v>
      </c>
      <c r="Q62" s="4" t="str">
        <f t="shared" si="63"/>
        <v>1+0.0418887708694775i</v>
      </c>
      <c r="R62" s="4">
        <f t="shared" si="64"/>
        <v>1.0008769500417898</v>
      </c>
      <c r="S62" s="4">
        <f t="shared" si="65"/>
        <v>4.186429632018094E-2</v>
      </c>
      <c r="T62" s="4" t="str">
        <f t="shared" si="51"/>
        <v>1+0.000650680382485643i</v>
      </c>
      <c r="U62" s="4">
        <f t="shared" si="66"/>
        <v>1.0000002116924578</v>
      </c>
      <c r="V62" s="4">
        <f t="shared" si="67"/>
        <v>6.5068029065623709E-4</v>
      </c>
      <c r="W62" t="str">
        <f t="shared" si="52"/>
        <v>1-0.000378554078906209i</v>
      </c>
      <c r="X62" s="4">
        <f t="shared" si="68"/>
        <v>1.0000000716515927</v>
      </c>
      <c r="Y62" s="4">
        <f t="shared" si="69"/>
        <v>-3.7855406082354143E-4</v>
      </c>
      <c r="Z62" t="str">
        <f t="shared" si="53"/>
        <v>0.999999999241422+0.000253399465063748i</v>
      </c>
      <c r="AA62" s="4">
        <f t="shared" si="70"/>
        <v>1.0000000313470658</v>
      </c>
      <c r="AB62" s="4">
        <f t="shared" si="71"/>
        <v>2.5339945983226934E-4</v>
      </c>
      <c r="AC62" s="47" t="str">
        <f t="shared" si="72"/>
        <v>19.5852742746363-0.820035654309433i</v>
      </c>
      <c r="AD62" s="20">
        <f t="shared" si="73"/>
        <v>25.846200098099477</v>
      </c>
      <c r="AE62" s="43">
        <f t="shared" si="74"/>
        <v>-2.3975745265464901</v>
      </c>
      <c r="AF62" t="str">
        <f t="shared" si="54"/>
        <v>72.2956529813786</v>
      </c>
      <c r="AG62" t="str">
        <f t="shared" si="55"/>
        <v>1+0.0341607200804963i</v>
      </c>
      <c r="AH62">
        <f t="shared" si="75"/>
        <v>1.0005833072745207</v>
      </c>
      <c r="AI62">
        <f t="shared" si="76"/>
        <v>3.4147441371266796E-2</v>
      </c>
      <c r="AJ62" t="str">
        <f t="shared" si="56"/>
        <v>1+0.000650680382485643i</v>
      </c>
      <c r="AK62">
        <f t="shared" si="77"/>
        <v>1.0000002116924578</v>
      </c>
      <c r="AL62">
        <f t="shared" si="78"/>
        <v>6.5068029065623709E-4</v>
      </c>
      <c r="AM62" t="str">
        <f t="shared" si="57"/>
        <v>1-0.0000837790653281506i</v>
      </c>
      <c r="AN62">
        <f t="shared" si="79"/>
        <v>1.0000000035094658</v>
      </c>
      <c r="AO62">
        <f t="shared" si="80"/>
        <v>-8.3779065132137421E-5</v>
      </c>
      <c r="AP62" s="41" t="str">
        <f t="shared" si="81"/>
        <v>72.2127879232931-2.42585633357995i</v>
      </c>
      <c r="AQ62">
        <f t="shared" si="82"/>
        <v>37.177180497053435</v>
      </c>
      <c r="AR62" s="43">
        <f t="shared" si="83"/>
        <v>-1.9240232241206785</v>
      </c>
      <c r="AS62" t="str">
        <f t="shared" si="58"/>
        <v>-0.0000166666666666667</v>
      </c>
      <c r="AT62" t="str">
        <f t="shared" si="59"/>
        <v>5.88381196928506E-07i</v>
      </c>
      <c r="AU62">
        <f t="shared" si="84"/>
        <v>5.88381196928506E-7</v>
      </c>
      <c r="AV62">
        <f t="shared" si="85"/>
        <v>1.5707963267948966</v>
      </c>
      <c r="AW62" t="str">
        <f t="shared" si="60"/>
        <v>1+0.000587872216654349i</v>
      </c>
      <c r="AX62">
        <f t="shared" si="86"/>
        <v>1.0000001727968566</v>
      </c>
      <c r="AY62">
        <f t="shared" si="87"/>
        <v>5.8787214893270972E-4</v>
      </c>
      <c r="AZ62" t="str">
        <f t="shared" si="61"/>
        <v>1+0.0199876553662478i</v>
      </c>
      <c r="BA62">
        <f t="shared" si="88"/>
        <v>1.0001997332368371</v>
      </c>
      <c r="BB62">
        <f t="shared" si="89"/>
        <v>1.9984994272232746E-2</v>
      </c>
      <c r="BC62" s="41" t="str">
        <f t="shared" si="90"/>
        <v>-0.549524031541221+28.3266304738574i</v>
      </c>
      <c r="BD62">
        <f t="shared" si="91"/>
        <v>29.045532471046037</v>
      </c>
      <c r="BE62" s="43">
        <f t="shared" si="92"/>
        <v>91.111373232364926</v>
      </c>
      <c r="BF62" s="41" t="str">
        <f t="shared" si="93"/>
        <v>12.4662680767725+555.235456405532i</v>
      </c>
      <c r="BG62" s="20">
        <f t="shared" si="94"/>
        <v>54.891732569145518</v>
      </c>
      <c r="BH62" s="43">
        <f t="shared" si="95"/>
        <v>88.713798705818434</v>
      </c>
      <c r="BI62" s="41" t="str">
        <f t="shared" si="101"/>
        <v>29.0336735955466+2046.87802534252i</v>
      </c>
      <c r="BJ62" s="20">
        <f t="shared" si="97"/>
        <v>66.222712968099458</v>
      </c>
      <c r="BK62" s="43">
        <f t="shared" si="102"/>
        <v>89.187350008244252</v>
      </c>
      <c r="BL62">
        <f t="shared" si="99"/>
        <v>54.891732569145518</v>
      </c>
      <c r="BM62" s="43">
        <f t="shared" si="100"/>
        <v>88.713798705818434</v>
      </c>
    </row>
    <row r="63" spans="1:65" x14ac:dyDescent="0.25">
      <c r="A63" t="s">
        <v>226</v>
      </c>
      <c r="B63" s="1">
        <f>1/(RCOMP*CCOMP)</f>
        <v>8658.0086580086572</v>
      </c>
      <c r="E63" t="s">
        <v>240</v>
      </c>
      <c r="N63" s="9">
        <v>45</v>
      </c>
      <c r="O63" s="34">
        <f t="shared" si="62"/>
        <v>28.183829312644548</v>
      </c>
      <c r="P63" s="33" t="str">
        <f t="shared" si="50"/>
        <v>19.6196196196196</v>
      </c>
      <c r="Q63" s="4" t="str">
        <f t="shared" si="63"/>
        <v>1+0.0428644856859905i</v>
      </c>
      <c r="R63" s="4">
        <f t="shared" si="64"/>
        <v>1.000918260465421</v>
      </c>
      <c r="S63" s="4">
        <f t="shared" si="65"/>
        <v>4.2838262033170385E-2</v>
      </c>
      <c r="T63" s="4" t="str">
        <f t="shared" si="51"/>
        <v>1+0.000665836675612119i</v>
      </c>
      <c r="U63" s="4">
        <f t="shared" si="66"/>
        <v>1.0000002216692148</v>
      </c>
      <c r="V63" s="4">
        <f t="shared" si="67"/>
        <v>6.6583657721513891E-4</v>
      </c>
      <c r="W63" t="str">
        <f t="shared" si="52"/>
        <v>1-0.00038737173614402i</v>
      </c>
      <c r="X63" s="4">
        <f t="shared" si="68"/>
        <v>1.0000000750284281</v>
      </c>
      <c r="Y63" s="4">
        <f t="shared" si="69"/>
        <v>-3.873717167680927E-4</v>
      </c>
      <c r="Z63" t="str">
        <f t="shared" si="53"/>
        <v>0.999999999205672+0.000259301896847425i</v>
      </c>
      <c r="AA63" s="4">
        <f t="shared" si="70"/>
        <v>1.0000000328244081</v>
      </c>
      <c r="AB63" s="4">
        <f t="shared" si="71"/>
        <v>2.5930189124179453E-4</v>
      </c>
      <c r="AC63" s="47" t="str">
        <f t="shared" si="72"/>
        <v>19.5836585969806-0.839067483343824i</v>
      </c>
      <c r="AD63" s="20">
        <f t="shared" si="73"/>
        <v>25.845841705262576</v>
      </c>
      <c r="AE63" s="43">
        <f t="shared" si="74"/>
        <v>-2.4533536589177736</v>
      </c>
      <c r="AF63" t="str">
        <f t="shared" si="54"/>
        <v>72.2956529813786</v>
      </c>
      <c r="AG63" t="str">
        <f t="shared" si="55"/>
        <v>1+0.0349564254696363i</v>
      </c>
      <c r="AH63">
        <f t="shared" si="75"/>
        <v>1.0006107893090173</v>
      </c>
      <c r="AI63">
        <f t="shared" si="76"/>
        <v>3.494219754538673E-2</v>
      </c>
      <c r="AJ63" t="str">
        <f t="shared" si="56"/>
        <v>1+0.000665836675612119i</v>
      </c>
      <c r="AK63">
        <f t="shared" si="77"/>
        <v>1.0000002216692148</v>
      </c>
      <c r="AL63">
        <f t="shared" si="78"/>
        <v>6.6583657721513891E-4</v>
      </c>
      <c r="AM63" t="str">
        <f t="shared" si="57"/>
        <v>1-0.000085730530450128i</v>
      </c>
      <c r="AN63">
        <f t="shared" si="79"/>
        <v>1.000000003674862</v>
      </c>
      <c r="AO63">
        <f t="shared" si="80"/>
        <v>-8.5730530240096101E-5</v>
      </c>
      <c r="AP63" s="41" t="str">
        <f t="shared" si="81"/>
        <v>72.2088873796972-2.48222543737075i</v>
      </c>
      <c r="AQ63">
        <f t="shared" si="82"/>
        <v>37.176942021662285</v>
      </c>
      <c r="AR63" s="43">
        <f t="shared" si="83"/>
        <v>-1.9688028181013568</v>
      </c>
      <c r="AS63" t="str">
        <f t="shared" si="58"/>
        <v>-0.0000166666666666667</v>
      </c>
      <c r="AT63" t="str">
        <f t="shared" si="59"/>
        <v>6.02086355606703E-07i</v>
      </c>
      <c r="AU63">
        <f t="shared" si="84"/>
        <v>6.0208635560670299E-7</v>
      </c>
      <c r="AV63">
        <f t="shared" si="85"/>
        <v>1.5707963267948966</v>
      </c>
      <c r="AW63" t="str">
        <f t="shared" si="60"/>
        <v>1+0.000601565519658949i</v>
      </c>
      <c r="AX63">
        <f t="shared" si="86"/>
        <v>1.0000001809405208</v>
      </c>
      <c r="AY63">
        <f t="shared" si="87"/>
        <v>6.0156544709390593E-4</v>
      </c>
      <c r="AZ63" t="str">
        <f t="shared" si="61"/>
        <v>1+0.0204532276684042i</v>
      </c>
      <c r="BA63">
        <f t="shared" si="88"/>
        <v>1.0002091453901307</v>
      </c>
      <c r="BB63">
        <f t="shared" si="89"/>
        <v>2.0450376286995038E-2</v>
      </c>
      <c r="BC63" s="41" t="str">
        <f t="shared" si="90"/>
        <v>-0.549524022590944+27.6818525216221i</v>
      </c>
      <c r="BD63">
        <f t="shared" si="91"/>
        <v>28.845614136525786</v>
      </c>
      <c r="BE63" s="43">
        <f t="shared" si="92"/>
        <v>91.137253089479842</v>
      </c>
      <c r="BF63" s="41" t="str">
        <f t="shared" si="93"/>
        <v>12.4652514803518+542.573036854086i</v>
      </c>
      <c r="BG63" s="20">
        <f t="shared" si="94"/>
        <v>54.691455841788354</v>
      </c>
      <c r="BH63" s="43">
        <f t="shared" si="95"/>
        <v>88.683899430562079</v>
      </c>
      <c r="BI63" s="41" t="str">
        <f t="shared" si="101"/>
        <v>29.0320802230084+2000.23981370252i</v>
      </c>
      <c r="BJ63" s="20">
        <f t="shared" si="97"/>
        <v>66.022556158188067</v>
      </c>
      <c r="BK63" s="43">
        <f t="shared" si="102"/>
        <v>89.168450271378489</v>
      </c>
      <c r="BL63">
        <f t="shared" si="99"/>
        <v>54.691455841788354</v>
      </c>
      <c r="BM63" s="43">
        <f t="shared" si="100"/>
        <v>88.683899430562079</v>
      </c>
    </row>
    <row r="64" spans="1:65" x14ac:dyDescent="0.25">
      <c r="A64" t="s">
        <v>231</v>
      </c>
      <c r="B64" s="1">
        <f>(CCOMP+CHF)</f>
        <v>3.4000000000000003E-9</v>
      </c>
      <c r="E64" t="s">
        <v>241</v>
      </c>
      <c r="N64" s="9">
        <v>46</v>
      </c>
      <c r="O64" s="34">
        <f t="shared" si="62"/>
        <v>28.840315031266066</v>
      </c>
      <c r="P64" s="33" t="str">
        <f t="shared" si="50"/>
        <v>19.6196196196196</v>
      </c>
      <c r="Q64" s="4" t="str">
        <f t="shared" si="63"/>
        <v>1+0.0438629278201928i</v>
      </c>
      <c r="R64" s="4">
        <f t="shared" si="64"/>
        <v>1.0009615159620071</v>
      </c>
      <c r="S64" s="4">
        <f t="shared" si="65"/>
        <v>4.383483012753539E-2</v>
      </c>
      <c r="T64" s="4" t="str">
        <f t="shared" si="51"/>
        <v>1+0.000681346004157395i</v>
      </c>
      <c r="U64" s="4">
        <f t="shared" si="66"/>
        <v>1.0000002321161618</v>
      </c>
      <c r="V64" s="4">
        <f t="shared" si="67"/>
        <v>6.8134589872313257E-4</v>
      </c>
      <c r="W64" t="str">
        <f t="shared" si="52"/>
        <v>1-0.000396394783003804i</v>
      </c>
      <c r="X64" s="4">
        <f t="shared" si="68"/>
        <v>1.000000078564409</v>
      </c>
      <c r="Y64" s="4">
        <f t="shared" si="69"/>
        <v>-3.9639476224212391E-4</v>
      </c>
      <c r="Z64" t="str">
        <f t="shared" si="53"/>
        <v>0.999999999168236+0.000265341813929077i</v>
      </c>
      <c r="AA64" s="4">
        <f t="shared" si="70"/>
        <v>1.0000000343713746</v>
      </c>
      <c r="AB64" s="4">
        <f t="shared" si="71"/>
        <v>2.6534180792253583E-4</v>
      </c>
      <c r="AC64" s="47" t="str">
        <f t="shared" si="72"/>
        <v>19.5819670606365-0.858537680084499i</v>
      </c>
      <c r="AD64" s="20">
        <f t="shared" si="73"/>
        <v>25.845466453606392</v>
      </c>
      <c r="AE64" s="43">
        <f t="shared" si="74"/>
        <v>-2.5104272302151998</v>
      </c>
      <c r="AF64" t="str">
        <f t="shared" si="54"/>
        <v>72.2956529813786</v>
      </c>
      <c r="AG64" t="str">
        <f t="shared" si="55"/>
        <v>1+0.0357706652182633i</v>
      </c>
      <c r="AH64">
        <f t="shared" si="75"/>
        <v>1.0006395657229217</v>
      </c>
      <c r="AI64">
        <f t="shared" si="76"/>
        <v>3.5755420248983989E-2</v>
      </c>
      <c r="AJ64" t="str">
        <f t="shared" si="56"/>
        <v>1+0.000681346004157395i</v>
      </c>
      <c r="AK64">
        <f t="shared" si="77"/>
        <v>1.0000002321161618</v>
      </c>
      <c r="AL64">
        <f t="shared" si="78"/>
        <v>6.8134589872313257E-4</v>
      </c>
      <c r="AM64" t="str">
        <f t="shared" si="57"/>
        <v>1-0.0000877274510341278i</v>
      </c>
      <c r="AN64">
        <f t="shared" si="79"/>
        <v>1.0000000038480528</v>
      </c>
      <c r="AO64">
        <f t="shared" si="80"/>
        <v>-8.7727450809074555E-5</v>
      </c>
      <c r="AP64" s="41" t="str">
        <f t="shared" si="81"/>
        <v>72.2048034683991-2.53989781109869i</v>
      </c>
      <c r="AQ64">
        <f t="shared" si="82"/>
        <v>37.176692321316956</v>
      </c>
      <c r="AR64" s="43">
        <f t="shared" si="83"/>
        <v>-2.0146228432768005</v>
      </c>
      <c r="AS64" t="str">
        <f t="shared" si="58"/>
        <v>-0.0000166666666666667</v>
      </c>
      <c r="AT64" t="str">
        <f t="shared" si="59"/>
        <v>6.16110748440197E-07i</v>
      </c>
      <c r="AU64">
        <f t="shared" si="84"/>
        <v>6.1611074844019703E-7</v>
      </c>
      <c r="AV64">
        <f t="shared" si="85"/>
        <v>1.5707963267948966</v>
      </c>
      <c r="AW64" t="str">
        <f t="shared" si="60"/>
        <v>1+0.000615577780664732i</v>
      </c>
      <c r="AX64">
        <f t="shared" si="86"/>
        <v>1.0000001894679842</v>
      </c>
      <c r="AY64">
        <f t="shared" si="87"/>
        <v>6.1557770290988825E-4</v>
      </c>
      <c r="AZ64" t="str">
        <f t="shared" si="61"/>
        <v>1+0.0209296445426009i</v>
      </c>
      <c r="BA64">
        <f t="shared" si="88"/>
        <v>1.0002190010296144</v>
      </c>
      <c r="BB64">
        <f t="shared" si="89"/>
        <v>2.0926589268503534E-2</v>
      </c>
      <c r="BC64" s="41" t="str">
        <f t="shared" si="90"/>
        <v>-0.549524013218856+27.0517518540057i</v>
      </c>
      <c r="BD64">
        <f t="shared" si="91"/>
        <v>28.645699649132219</v>
      </c>
      <c r="BE64" s="43">
        <f t="shared" si="92"/>
        <v>91.163735240349908</v>
      </c>
      <c r="BF64" s="41" t="str">
        <f t="shared" si="93"/>
        <v>12.4641871530792+530.198300809112i</v>
      </c>
      <c r="BG64" s="20">
        <f t="shared" si="94"/>
        <v>54.491166102738617</v>
      </c>
      <c r="BH64" s="43">
        <f t="shared" si="95"/>
        <v>88.653308010134722</v>
      </c>
      <c r="BI64" s="41" t="str">
        <f t="shared" si="101"/>
        <v>29.0304119447405+1954.6621609327i</v>
      </c>
      <c r="BJ64" s="20">
        <f t="shared" si="97"/>
        <v>65.822391970449161</v>
      </c>
      <c r="BK64" s="43">
        <f t="shared" si="102"/>
        <v>89.149112397073125</v>
      </c>
      <c r="BL64">
        <f t="shared" si="99"/>
        <v>54.491166102738617</v>
      </c>
      <c r="BM64" s="43">
        <f t="shared" si="100"/>
        <v>88.653308010134722</v>
      </c>
    </row>
    <row r="65" spans="1:65" x14ac:dyDescent="0.25">
      <c r="A65" t="s">
        <v>232</v>
      </c>
      <c r="B65" s="1">
        <f>(CCOMP+CHF)/(RCOMP*CHF*CCOMP)</f>
        <v>294372.29437229439</v>
      </c>
      <c r="E65" t="s">
        <v>242</v>
      </c>
      <c r="N65" s="9">
        <v>47</v>
      </c>
      <c r="O65" s="34">
        <f t="shared" si="62"/>
        <v>29.512092266663863</v>
      </c>
      <c r="P65" s="33" t="str">
        <f t="shared" si="50"/>
        <v>19.6196196196196</v>
      </c>
      <c r="Q65" s="4" t="str">
        <f t="shared" si="63"/>
        <v>1+0.0448846266593197i</v>
      </c>
      <c r="R65" s="4">
        <f t="shared" si="64"/>
        <v>1.0010068080239747</v>
      </c>
      <c r="S65" s="4">
        <f t="shared" si="65"/>
        <v>4.4854521074444424E-2</v>
      </c>
      <c r="T65" s="4" t="str">
        <f t="shared" si="51"/>
        <v>1+0.000697216591372756i</v>
      </c>
      <c r="U65" s="4">
        <f t="shared" si="66"/>
        <v>1.000000243055458</v>
      </c>
      <c r="V65" s="4">
        <f t="shared" si="67"/>
        <v>6.9721647839790979E-4</v>
      </c>
      <c r="W65" t="str">
        <f t="shared" si="52"/>
        <v>1-0.000405628003624443i</v>
      </c>
      <c r="X65" s="4">
        <f t="shared" si="68"/>
        <v>1.0000000822670352</v>
      </c>
      <c r="Y65" s="4">
        <f t="shared" si="69"/>
        <v>-4.0562798137790205E-4</v>
      </c>
      <c r="Z65" t="str">
        <f t="shared" si="53"/>
        <v>0.999999999129036+0.000271522418752688i</v>
      </c>
      <c r="AA65" s="4">
        <f t="shared" si="70"/>
        <v>1.0000000359912473</v>
      </c>
      <c r="AB65" s="4">
        <f t="shared" si="71"/>
        <v>2.7152241231656322E-4</v>
      </c>
      <c r="AC65" s="47" t="str">
        <f t="shared" si="72"/>
        <v>19.5801961179918-0.878456103609305i</v>
      </c>
      <c r="AD65" s="20">
        <f t="shared" si="73"/>
        <v>25.845073551653158</v>
      </c>
      <c r="AE65" s="43">
        <f t="shared" si="74"/>
        <v>-2.5688250476814094</v>
      </c>
      <c r="AF65" t="str">
        <f t="shared" si="54"/>
        <v>72.2956529813786</v>
      </c>
      <c r="AG65" t="str">
        <f t="shared" si="55"/>
        <v>1+0.0366038710470697i</v>
      </c>
      <c r="AH65">
        <f t="shared" si="75"/>
        <v>1.0006696974404843</v>
      </c>
      <c r="AI65">
        <f t="shared" si="76"/>
        <v>3.6587536358566534E-2</v>
      </c>
      <c r="AJ65" t="str">
        <f t="shared" si="56"/>
        <v>1+0.000697216591372756i</v>
      </c>
      <c r="AK65">
        <f t="shared" si="77"/>
        <v>1.000000243055458</v>
      </c>
      <c r="AL65">
        <f t="shared" si="78"/>
        <v>6.9721647839790979E-4</v>
      </c>
      <c r="AM65" t="str">
        <f t="shared" si="57"/>
        <v>1-0.0000897708858738759i</v>
      </c>
      <c r="AN65">
        <f t="shared" si="79"/>
        <v>1.0000000040294059</v>
      </c>
      <c r="AO65">
        <f t="shared" si="80"/>
        <v>-8.9770885632727002E-5</v>
      </c>
      <c r="AP65" s="41" t="str">
        <f t="shared" si="81"/>
        <v>72.2005275917662-2.59890311756963i</v>
      </c>
      <c r="AQ65">
        <f t="shared" si="82"/>
        <v>37.176430868354885</v>
      </c>
      <c r="AR65" s="43">
        <f t="shared" si="83"/>
        <v>-2.0615073473780421</v>
      </c>
      <c r="AS65" t="str">
        <f t="shared" si="58"/>
        <v>-0.0000166666666666667</v>
      </c>
      <c r="AT65" t="str">
        <f t="shared" si="59"/>
        <v>6.30461811347704E-07i</v>
      </c>
      <c r="AU65">
        <f t="shared" si="84"/>
        <v>6.3046181134770395E-7</v>
      </c>
      <c r="AV65">
        <f t="shared" si="85"/>
        <v>1.5707963267948966</v>
      </c>
      <c r="AW65" t="str">
        <f t="shared" si="60"/>
        <v>1+0.000629916429157959i</v>
      </c>
      <c r="AX65">
        <f t="shared" si="86"/>
        <v>1.0000001983973341</v>
      </c>
      <c r="AY65">
        <f t="shared" si="87"/>
        <v>6.2991634584214366E-4</v>
      </c>
      <c r="AZ65" t="str">
        <f t="shared" si="61"/>
        <v>1+0.0214171585913706i</v>
      </c>
      <c r="BA65">
        <f t="shared" si="88"/>
        <v>1.0002293210469926</v>
      </c>
      <c r="BB65">
        <f t="shared" si="89"/>
        <v>2.1413884846728883E-2</v>
      </c>
      <c r="BC65" s="41" t="str">
        <f t="shared" si="90"/>
        <v>-0.549524003405075+26.4359943832942i</v>
      </c>
      <c r="BD65">
        <f t="shared" si="91"/>
        <v>28.445789190015958</v>
      </c>
      <c r="BE65" s="43">
        <f t="shared" si="92"/>
        <v>91.190833676633645</v>
      </c>
      <c r="BF65" s="41" t="str">
        <f t="shared" si="93"/>
        <v>12.4630728627707+518.104687313901i</v>
      </c>
      <c r="BG65" s="20">
        <f t="shared" si="94"/>
        <v>54.290862741669116</v>
      </c>
      <c r="BH65" s="43">
        <f t="shared" si="95"/>
        <v>88.622008628952258</v>
      </c>
      <c r="BI65" s="41" t="str">
        <f t="shared" si="101"/>
        <v>29.0286652486106+1910.12090153244i</v>
      </c>
      <c r="BJ65" s="20">
        <f t="shared" si="97"/>
        <v>65.622220058370857</v>
      </c>
      <c r="BK65" s="43">
        <f t="shared" si="102"/>
        <v>89.129326329255619</v>
      </c>
      <c r="BL65">
        <f t="shared" si="99"/>
        <v>54.290862741669116</v>
      </c>
      <c r="BM65" s="43">
        <f t="shared" si="100"/>
        <v>88.622008628952258</v>
      </c>
    </row>
    <row r="66" spans="1:65" x14ac:dyDescent="0.25">
      <c r="N66" s="9">
        <v>48</v>
      </c>
      <c r="O66" s="34">
        <f t="shared" si="62"/>
        <v>30.199517204020164</v>
      </c>
      <c r="P66" s="33" t="str">
        <f t="shared" si="50"/>
        <v>19.6196196196196</v>
      </c>
      <c r="Q66" s="4" t="str">
        <f t="shared" si="63"/>
        <v>1+0.0459301239216198i</v>
      </c>
      <c r="R66" s="4">
        <f t="shared" si="64"/>
        <v>1.0010542324387102</v>
      </c>
      <c r="S66" s="4">
        <f t="shared" si="65"/>
        <v>4.5897867040756851E-2</v>
      </c>
      <c r="T66" s="4" t="str">
        <f t="shared" si="51"/>
        <v>1+0.000713456852053615i</v>
      </c>
      <c r="U66" s="4">
        <f t="shared" si="66"/>
        <v>1.0000002545103075</v>
      </c>
      <c r="V66" s="4">
        <f t="shared" si="67"/>
        <v>7.1345673099888795E-4</v>
      </c>
      <c r="W66" t="str">
        <f t="shared" si="52"/>
        <v>1-0.000415076293581725i</v>
      </c>
      <c r="X66" s="4">
        <f t="shared" si="68"/>
        <v>1.0000000861441611</v>
      </c>
      <c r="Y66" s="4">
        <f t="shared" si="69"/>
        <v>-4.1507626974412705E-4</v>
      </c>
      <c r="Z66" t="str">
        <f t="shared" si="53"/>
        <v>0.999999999087989+0.000277846988356746i</v>
      </c>
      <c r="AA66" s="4">
        <f t="shared" si="70"/>
        <v>1.0000000376874627</v>
      </c>
      <c r="AB66" s="4">
        <f t="shared" si="71"/>
        <v>2.77846981460314E-4</v>
      </c>
      <c r="AC66" s="47" t="str">
        <f t="shared" si="72"/>
        <v>19.5783420568808-0.898832817667339i</v>
      </c>
      <c r="AD66" s="20">
        <f t="shared" si="73"/>
        <v>25.844662170917388</v>
      </c>
      <c r="AE66" s="43">
        <f t="shared" si="74"/>
        <v>-2.6285775883570404</v>
      </c>
      <c r="AF66" t="str">
        <f t="shared" si="54"/>
        <v>72.2956529813786</v>
      </c>
      <c r="AG66" t="str">
        <f t="shared" si="55"/>
        <v>1+0.0374564847328148i</v>
      </c>
      <c r="AH66">
        <f t="shared" si="75"/>
        <v>1.000701248249716</v>
      </c>
      <c r="AI66">
        <f t="shared" si="76"/>
        <v>3.7438982461105809E-2</v>
      </c>
      <c r="AJ66" t="str">
        <f t="shared" si="56"/>
        <v>1+0.000713456852053615i</v>
      </c>
      <c r="AK66">
        <f t="shared" si="77"/>
        <v>1.0000002545103075</v>
      </c>
      <c r="AL66">
        <f t="shared" si="78"/>
        <v>7.1345673099888795E-4</v>
      </c>
      <c r="AM66" t="str">
        <f t="shared" si="57"/>
        <v>1-0.0000918619184255725i</v>
      </c>
      <c r="AN66">
        <f t="shared" si="79"/>
        <v>1.000000004219306</v>
      </c>
      <c r="AO66">
        <f t="shared" si="80"/>
        <v>-9.1861918167176804E-5</v>
      </c>
      <c r="AP66" s="41" t="str">
        <f t="shared" si="81"/>
        <v>72.1960507512256-2.65927166111625i</v>
      </c>
      <c r="AQ66">
        <f t="shared" si="82"/>
        <v>37.176157110375854</v>
      </c>
      <c r="AR66" s="43">
        <f t="shared" si="83"/>
        <v>-2.1094809249431945</v>
      </c>
      <c r="AS66" t="str">
        <f t="shared" si="58"/>
        <v>-0.0000166666666666667</v>
      </c>
      <c r="AT66" t="str">
        <f t="shared" si="59"/>
        <v>6.45147153452737E-07i</v>
      </c>
      <c r="AU66">
        <f t="shared" si="84"/>
        <v>6.4514715345273702E-7</v>
      </c>
      <c r="AV66">
        <f t="shared" si="85"/>
        <v>1.5707963267948966</v>
      </c>
      <c r="AW66" t="str">
        <f t="shared" si="60"/>
        <v>1+0.000644589067679856i</v>
      </c>
      <c r="AX66">
        <f t="shared" si="86"/>
        <v>1.0000002077475114</v>
      </c>
      <c r="AY66">
        <f t="shared" si="87"/>
        <v>6.4458897840535248E-4</v>
      </c>
      <c r="AZ66" t="str">
        <f t="shared" si="61"/>
        <v>1+0.0219160283011151i</v>
      </c>
      <c r="BA66">
        <f t="shared" si="88"/>
        <v>1.0002401273176833</v>
      </c>
      <c r="BB66">
        <f t="shared" si="89"/>
        <v>2.1912520466012299E-2</v>
      </c>
      <c r="BC66" s="41" t="str">
        <f t="shared" si="90"/>
        <v>-0.549523993128783+25.8342536267257i</v>
      </c>
      <c r="BD66">
        <f t="shared" si="91"/>
        <v>28.24588294884942</v>
      </c>
      <c r="BE66" s="43">
        <f t="shared" si="92"/>
        <v>91.218562713213274</v>
      </c>
      <c r="BF66" s="41" t="str">
        <f t="shared" si="93"/>
        <v>12.4619062737042+506.285784487369i</v>
      </c>
      <c r="BG66" s="20">
        <f t="shared" si="94"/>
        <v>54.090545119766809</v>
      </c>
      <c r="BH66" s="43">
        <f t="shared" si="95"/>
        <v>88.589985124856241</v>
      </c>
      <c r="BI66" s="41" t="str">
        <f t="shared" si="101"/>
        <v>29.0268364586996+1866.59241953715i</v>
      </c>
      <c r="BJ66" s="20">
        <f t="shared" si="97"/>
        <v>65.422040059225267</v>
      </c>
      <c r="BK66" s="43">
        <f t="shared" si="102"/>
        <v>89.109081788270075</v>
      </c>
      <c r="BL66">
        <f t="shared" si="99"/>
        <v>54.090545119766809</v>
      </c>
      <c r="BM66" s="43">
        <f t="shared" si="100"/>
        <v>88.589985124856241</v>
      </c>
    </row>
    <row r="67" spans="1:65" x14ac:dyDescent="0.25">
      <c r="N67" s="9">
        <v>49</v>
      </c>
      <c r="O67" s="34">
        <f t="shared" si="62"/>
        <v>30.902954325135919</v>
      </c>
      <c r="P67" s="33" t="str">
        <f t="shared" si="50"/>
        <v>19.6196196196196</v>
      </c>
      <c r="Q67" s="4" t="str">
        <f t="shared" si="63"/>
        <v>1+0.0469999739435801i</v>
      </c>
      <c r="R67" s="4">
        <f t="shared" si="64"/>
        <v>1.0011038894893463</v>
      </c>
      <c r="S67" s="4">
        <f t="shared" si="65"/>
        <v>4.6965412131095959E-2</v>
      </c>
      <c r="T67" s="4" t="str">
        <f t="shared" si="51"/>
        <v>1+0.00073007539700115i</v>
      </c>
      <c r="U67" s="4">
        <f t="shared" si="66"/>
        <v>1.0000002665050072</v>
      </c>
      <c r="V67" s="4">
        <f t="shared" si="67"/>
        <v>7.3007526728867498E-4</v>
      </c>
      <c r="W67" t="str">
        <f t="shared" si="52"/>
        <v>1-0.000424744662484048i</v>
      </c>
      <c r="X67" s="4">
        <f t="shared" si="68"/>
        <v>1.00000009020401</v>
      </c>
      <c r="Y67" s="4">
        <f t="shared" si="69"/>
        <v>-4.2474463694160174E-4</v>
      </c>
      <c r="Z67" t="str">
        <f t="shared" si="53"/>
        <v>0.999999999045007+0.00028431887611177i</v>
      </c>
      <c r="AA67" s="4">
        <f t="shared" si="70"/>
        <v>1.0000000394636179</v>
      </c>
      <c r="AB67" s="4">
        <f t="shared" si="71"/>
        <v>2.8431886872211007E-4</v>
      </c>
      <c r="AC67" s="47" t="str">
        <f t="shared" si="72"/>
        <v>19.5764009930834-0.919678093682623i</v>
      </c>
      <c r="AD67" s="20">
        <f t="shared" si="73"/>
        <v>25.844231444190534</v>
      </c>
      <c r="AE67" s="43">
        <f t="shared" si="74"/>
        <v>-2.6897160129430682</v>
      </c>
      <c r="AF67" t="str">
        <f t="shared" si="54"/>
        <v>72.2956529813786</v>
      </c>
      <c r="AG67" t="str">
        <f t="shared" si="55"/>
        <v>1+0.0383289583425604i</v>
      </c>
      <c r="AH67">
        <f t="shared" si="75"/>
        <v>1.0007342849366287</v>
      </c>
      <c r="AI67">
        <f t="shared" si="76"/>
        <v>3.8310205063658377E-2</v>
      </c>
      <c r="AJ67" t="str">
        <f t="shared" si="56"/>
        <v>1+0.00073007539700115i</v>
      </c>
      <c r="AK67">
        <f t="shared" si="77"/>
        <v>1.0000002665050072</v>
      </c>
      <c r="AL67">
        <f t="shared" si="78"/>
        <v>7.3007526728867498E-4</v>
      </c>
      <c r="AM67" t="str">
        <f t="shared" si="57"/>
        <v>1-0.0000940016573823546i</v>
      </c>
      <c r="AN67">
        <f t="shared" si="79"/>
        <v>1.0000000044181558</v>
      </c>
      <c r="AO67">
        <f t="shared" si="80"/>
        <v>-9.4001657105478628E-5</v>
      </c>
      <c r="AP67" s="41" t="str">
        <f t="shared" si="81"/>
        <v>72.1913635287768-2.72103439903707i</v>
      </c>
      <c r="AQ67">
        <f t="shared" si="82"/>
        <v>37.175870469088657</v>
      </c>
      <c r="AR67" s="43">
        <f t="shared" si="83"/>
        <v>-2.158568729105192</v>
      </c>
      <c r="AS67" t="str">
        <f t="shared" si="58"/>
        <v>-0.0000166666666666667</v>
      </c>
      <c r="AT67" t="str">
        <f t="shared" si="59"/>
        <v>6.60174561118062E-07i</v>
      </c>
      <c r="AU67">
        <f t="shared" si="84"/>
        <v>6.6017456111806198E-7</v>
      </c>
      <c r="AV67">
        <f t="shared" si="85"/>
        <v>1.5707963267948966</v>
      </c>
      <c r="AW67" t="str">
        <f t="shared" si="60"/>
        <v>1+0.00065960347585758i</v>
      </c>
      <c r="AX67">
        <f t="shared" si="86"/>
        <v>1.0000002175383489</v>
      </c>
      <c r="AY67">
        <f t="shared" si="87"/>
        <v>6.5960338019822721E-4</v>
      </c>
      <c r="AZ67" t="str">
        <f t="shared" si="61"/>
        <v>1+0.0224265181791577i</v>
      </c>
      <c r="BA67">
        <f t="shared" si="88"/>
        <v>1.0002514427470925</v>
      </c>
      <c r="BB67">
        <f t="shared" si="89"/>
        <v>2.2422759517154615E-2</v>
      </c>
      <c r="BC67" s="41" t="str">
        <f t="shared" si="90"/>
        <v>-0.549523982368183+25.2462105333864i</v>
      </c>
      <c r="BD67">
        <f t="shared" si="91"/>
        <v>28.045981124227438</v>
      </c>
      <c r="BE67" s="43">
        <f t="shared" si="92"/>
        <v>91.246936995531826</v>
      </c>
      <c r="BF67" s="41" t="str">
        <f t="shared" si="93"/>
        <v>12.4606849418993+494.735326125915i</v>
      </c>
      <c r="BG67" s="20">
        <f t="shared" si="94"/>
        <v>53.890212568417965</v>
      </c>
      <c r="BH67" s="43">
        <f t="shared" si="95"/>
        <v>88.557220982588774</v>
      </c>
      <c r="BI67" s="41" t="str">
        <f t="shared" si="101"/>
        <v>29.0249217277538+1824.05363599885i</v>
      </c>
      <c r="BJ67" s="20">
        <f t="shared" si="97"/>
        <v>65.221851593316103</v>
      </c>
      <c r="BK67" s="43">
        <f t="shared" si="102"/>
        <v>89.088368266426642</v>
      </c>
      <c r="BL67">
        <f t="shared" si="99"/>
        <v>53.890212568417965</v>
      </c>
      <c r="BM67" s="43">
        <f t="shared" si="100"/>
        <v>88.557220982588774</v>
      </c>
    </row>
    <row r="68" spans="1:65" x14ac:dyDescent="0.25">
      <c r="N68" s="9">
        <v>50</v>
      </c>
      <c r="O68" s="34">
        <f t="shared" si="62"/>
        <v>31.622776601683803</v>
      </c>
      <c r="P68" s="33" t="str">
        <f t="shared" si="50"/>
        <v>19.6196196196196</v>
      </c>
      <c r="Q68" s="4" t="str">
        <f t="shared" si="63"/>
        <v>1+0.0480947439738435i</v>
      </c>
      <c r="R68" s="4">
        <f t="shared" si="64"/>
        <v>1.0011558841648536</v>
      </c>
      <c r="S68" s="4">
        <f t="shared" si="65"/>
        <v>4.8057712633419604E-2</v>
      </c>
      <c r="T68" s="4" t="str">
        <f t="shared" si="51"/>
        <v>1+0.000747081037587866i</v>
      </c>
      <c r="U68" s="4">
        <f t="shared" si="66"/>
        <v>1.0000002790649996</v>
      </c>
      <c r="V68" s="4">
        <f t="shared" si="67"/>
        <v>7.4708089859844696E-4</v>
      </c>
      <c r="W68" t="str">
        <f t="shared" si="52"/>
        <v>1-0.00043463823662858i</v>
      </c>
      <c r="X68" s="4">
        <f t="shared" si="68"/>
        <v>1.0000000944551939</v>
      </c>
      <c r="Y68" s="4">
        <f t="shared" si="69"/>
        <v>-4.3463820925935588E-4</v>
      </c>
      <c r="Z68" t="str">
        <f t="shared" si="53"/>
        <v>0.999999999+0.000290941513498314i</v>
      </c>
      <c r="AA68" s="4">
        <f t="shared" si="70"/>
        <v>1.0000000413234813</v>
      </c>
      <c r="AB68" s="4">
        <f t="shared" si="71"/>
        <v>2.9094150558015057E-4</v>
      </c>
      <c r="AC68" s="47" t="str">
        <f t="shared" si="72"/>
        <v>19.574368862492-0.941002413704304i</v>
      </c>
      <c r="AD68" s="20">
        <f t="shared" si="73"/>
        <v>25.843780463746192</v>
      </c>
      <c r="AE68" s="43">
        <f t="shared" si="74"/>
        <v>-2.7522721798635641</v>
      </c>
      <c r="AF68" t="str">
        <f t="shared" si="54"/>
        <v>72.2956529813786</v>
      </c>
      <c r="AG68" t="str">
        <f t="shared" si="55"/>
        <v>1+0.039221754473363i</v>
      </c>
      <c r="AH68">
        <f t="shared" si="75"/>
        <v>1.0007688774257366</v>
      </c>
      <c r="AI68">
        <f t="shared" si="76"/>
        <v>3.9201660806696473E-2</v>
      </c>
      <c r="AJ68" t="str">
        <f t="shared" si="56"/>
        <v>1+0.000747081037587866i</v>
      </c>
      <c r="AK68">
        <f t="shared" si="77"/>
        <v>1.0000002790649996</v>
      </c>
      <c r="AL68">
        <f t="shared" si="78"/>
        <v>7.4708089859844696E-4</v>
      </c>
      <c r="AM68" t="str">
        <f t="shared" si="57"/>
        <v>1-0.0000961912372621397i</v>
      </c>
      <c r="AN68">
        <f t="shared" si="79"/>
        <v>1.0000000046263771</v>
      </c>
      <c r="AO68">
        <f t="shared" si="80"/>
        <v>-9.6191236965461753E-5</v>
      </c>
      <c r="AP68" s="41" t="str">
        <f t="shared" si="81"/>
        <v>72.186456067672-2.78422295305497i</v>
      </c>
      <c r="AQ68">
        <f t="shared" si="82"/>
        <v>37.175570339104603</v>
      </c>
      <c r="AR68" s="43">
        <f t="shared" si="83"/>
        <v>-2.208796483586855</v>
      </c>
      <c r="AS68" t="str">
        <f t="shared" si="58"/>
        <v>-0.0000166666666666667</v>
      </c>
      <c r="AT68" t="str">
        <f t="shared" si="59"/>
        <v>6.75552002074135E-07i</v>
      </c>
      <c r="AU68">
        <f t="shared" si="84"/>
        <v>6.7555200207413496E-7</v>
      </c>
      <c r="AV68">
        <f t="shared" si="85"/>
        <v>1.5707963267948966</v>
      </c>
      <c r="AW68" t="str">
        <f t="shared" si="60"/>
        <v>1+0.000674967614529089i</v>
      </c>
      <c r="AX68">
        <f t="shared" si="86"/>
        <v>1.0000002277906144</v>
      </c>
      <c r="AY68">
        <f t="shared" si="87"/>
        <v>6.7496751202824701E-4</v>
      </c>
      <c r="AZ68" t="str">
        <f t="shared" si="61"/>
        <v>1+0.022948898893989i</v>
      </c>
      <c r="BA68">
        <f t="shared" si="88"/>
        <v>1.0002632913190639</v>
      </c>
      <c r="BB68">
        <f t="shared" si="89"/>
        <v>2.2944871472344589E-2</v>
      </c>
      <c r="BC68" s="41" t="str">
        <f t="shared" si="90"/>
        <v>-0.549523971100454+24.6715533150442i</v>
      </c>
      <c r="BD68">
        <f t="shared" si="91"/>
        <v>27.846083924085686</v>
      </c>
      <c r="BE68" s="43">
        <f t="shared" si="92"/>
        <v>91.275971507087803</v>
      </c>
      <c r="BF68" s="41" t="str">
        <f t="shared" si="93"/>
        <v>12.4594063101893+483.447188382506i</v>
      </c>
      <c r="BG68" s="20">
        <f t="shared" si="94"/>
        <v>53.689864387831875</v>
      </c>
      <c r="BH68" s="43">
        <f t="shared" si="95"/>
        <v>88.52369932722425</v>
      </c>
      <c r="BI68" s="41" t="str">
        <f t="shared" si="101"/>
        <v>29.0229170292899+1782.48199675126i</v>
      </c>
      <c r="BJ68" s="20">
        <f t="shared" si="97"/>
        <v>65.0216542631903</v>
      </c>
      <c r="BK68" s="43">
        <f t="shared" si="102"/>
        <v>89.067175023500965</v>
      </c>
      <c r="BL68">
        <f t="shared" si="99"/>
        <v>53.689864387831875</v>
      </c>
      <c r="BM68" s="43">
        <f t="shared" si="100"/>
        <v>88.52369932722425</v>
      </c>
    </row>
    <row r="69" spans="1:65" x14ac:dyDescent="0.25">
      <c r="A69" s="49" t="s">
        <v>457</v>
      </c>
      <c r="N69" s="9">
        <v>51</v>
      </c>
      <c r="O69" s="34">
        <f t="shared" si="62"/>
        <v>32.359365692962832</v>
      </c>
      <c r="P69" s="33" t="str">
        <f t="shared" si="50"/>
        <v>19.6196196196196</v>
      </c>
      <c r="Q69" s="4" t="str">
        <f t="shared" si="63"/>
        <v>1+0.0492150144739711i</v>
      </c>
      <c r="R69" s="4">
        <f t="shared" si="64"/>
        <v>1.0012103263798637</v>
      </c>
      <c r="S69" s="4">
        <f t="shared" si="65"/>
        <v>4.9175337268017011E-2</v>
      </c>
      <c r="T69" s="4" t="str">
        <f t="shared" si="51"/>
        <v>1+0.000764482790429497i</v>
      </c>
      <c r="U69" s="4">
        <f t="shared" si="66"/>
        <v>1.0000002922169258</v>
      </c>
      <c r="V69" s="4">
        <f t="shared" si="67"/>
        <v>7.6448264149965356E-4</v>
      </c>
      <c r="W69" t="str">
        <f t="shared" si="52"/>
        <v>1-0.000444762261719289i</v>
      </c>
      <c r="X69" s="4">
        <f t="shared" si="68"/>
        <v>1.0000000989067297</v>
      </c>
      <c r="Y69" s="4">
        <f t="shared" si="69"/>
        <v>-4.4476223239263711E-4</v>
      </c>
      <c r="Z69" t="str">
        <f t="shared" si="53"/>
        <v>0.999999998952872+0.000297718411926381i</v>
      </c>
      <c r="AA69" s="4">
        <f t="shared" si="70"/>
        <v>1.0000000432709975</v>
      </c>
      <c r="AB69" s="4">
        <f t="shared" si="71"/>
        <v>2.9771840344191598E-4</v>
      </c>
      <c r="AC69" s="47" t="str">
        <f t="shared" si="72"/>
        <v>19.572241412939-0.962816473293708i</v>
      </c>
      <c r="AD69" s="20">
        <f t="shared" si="73"/>
        <v>25.843308279465251</v>
      </c>
      <c r="AE69" s="43">
        <f t="shared" si="74"/>
        <v>-2.8162786595243285</v>
      </c>
      <c r="AF69" t="str">
        <f t="shared" si="54"/>
        <v>72.2956529813786</v>
      </c>
      <c r="AG69" t="str">
        <f t="shared" si="55"/>
        <v>1+0.0401353464975486i</v>
      </c>
      <c r="AH69">
        <f t="shared" si="75"/>
        <v>1.000805098927098</v>
      </c>
      <c r="AI69">
        <f t="shared" si="76"/>
        <v>4.0113816681149765E-2</v>
      </c>
      <c r="AJ69" t="str">
        <f t="shared" si="56"/>
        <v>1+0.000764482790429497i</v>
      </c>
      <c r="AK69">
        <f t="shared" si="77"/>
        <v>1.0000002922169258</v>
      </c>
      <c r="AL69">
        <f t="shared" si="78"/>
        <v>7.6448264149965356E-4</v>
      </c>
      <c r="AM69" t="str">
        <f t="shared" si="57"/>
        <v>1-0.0000984318190091629i</v>
      </c>
      <c r="AN69">
        <f t="shared" si="79"/>
        <v>1.0000000048444115</v>
      </c>
      <c r="AO69">
        <f t="shared" si="80"/>
        <v>-9.843181869126675E-5</v>
      </c>
      <c r="AP69" s="41" t="str">
        <f t="shared" si="81"/>
        <v>72.1813180522291-2.84886962077826i</v>
      </c>
      <c r="AQ69">
        <f t="shared" si="82"/>
        <v>37.175256086675518</v>
      </c>
      <c r="AR69" s="43">
        <f t="shared" si="83"/>
        <v>-2.2601904949032239</v>
      </c>
      <c r="AS69" t="str">
        <f t="shared" si="58"/>
        <v>-0.0000166666666666667</v>
      </c>
      <c r="AT69" t="str">
        <f t="shared" si="59"/>
        <v>6.91287629643696E-07i</v>
      </c>
      <c r="AU69">
        <f t="shared" si="84"/>
        <v>6.9128762964369598E-7</v>
      </c>
      <c r="AV69">
        <f t="shared" si="85"/>
        <v>1.5707963267948966</v>
      </c>
      <c r="AW69" t="str">
        <f t="shared" si="60"/>
        <v>1+0.000690689629964073i</v>
      </c>
      <c r="AX69">
        <f t="shared" si="86"/>
        <v>1.000000238526054</v>
      </c>
      <c r="AY69">
        <f t="shared" si="87"/>
        <v>6.9068952013244327E-4</v>
      </c>
      <c r="AZ69" t="str">
        <f t="shared" si="61"/>
        <v>1+0.0234834474187785i</v>
      </c>
      <c r="BA69">
        <f t="shared" si="88"/>
        <v>1.0002756981466012</v>
      </c>
      <c r="BB69">
        <f t="shared" si="89"/>
        <v>2.347913202297373E-2</v>
      </c>
      <c r="BC69" s="41" t="str">
        <f t="shared" si="90"/>
        <v>-0.549523959301695+24.1099772808357i</v>
      </c>
      <c r="BD69">
        <f t="shared" si="91"/>
        <v>27.646191566139549</v>
      </c>
      <c r="BE69" s="43">
        <f t="shared" si="92"/>
        <v>91.305681577089345</v>
      </c>
      <c r="BF69" s="41" t="str">
        <f t="shared" si="93"/>
        <v>12.4580677030788+472.415386521476i</v>
      </c>
      <c r="BG69" s="20">
        <f t="shared" si="94"/>
        <v>53.489499845604797</v>
      </c>
      <c r="BH69" s="43">
        <f t="shared" si="95"/>
        <v>88.489402917565016</v>
      </c>
      <c r="BI69" s="41" t="str">
        <f t="shared" si="101"/>
        <v>29.020818149351+1741.85546045356i</v>
      </c>
      <c r="BJ69" s="20">
        <f t="shared" si="97"/>
        <v>64.821447652815053</v>
      </c>
      <c r="BK69" s="43">
        <f t="shared" si="102"/>
        <v>89.045491082186118</v>
      </c>
      <c r="BL69">
        <f t="shared" si="99"/>
        <v>53.489499845604797</v>
      </c>
      <c r="BM69" s="43">
        <f t="shared" si="100"/>
        <v>88.489402917565016</v>
      </c>
    </row>
    <row r="70" spans="1:65" x14ac:dyDescent="0.25">
      <c r="A70" t="s">
        <v>480</v>
      </c>
      <c r="B70">
        <f>SQRT((2*IOUT*Lm*Fsw*(VOUT-VIN_var)/(VIN_var^2)))</f>
        <v>1.9364916731037083</v>
      </c>
      <c r="E70" s="31"/>
      <c r="N70" s="9">
        <v>52</v>
      </c>
      <c r="O70" s="34">
        <f t="shared" si="62"/>
        <v>33.113112148259127</v>
      </c>
      <c r="P70" s="33" t="str">
        <f t="shared" si="50"/>
        <v>19.6196196196196</v>
      </c>
      <c r="Q70" s="4" t="str">
        <f t="shared" si="63"/>
        <v>1+0.0503613794262107i</v>
      </c>
      <c r="R70" s="4">
        <f t="shared" si="64"/>
        <v>1.0012673312046643</v>
      </c>
      <c r="S70" s="4">
        <f t="shared" si="65"/>
        <v>5.0318867439853032E-2</v>
      </c>
      <c r="T70" s="4" t="str">
        <f t="shared" si="51"/>
        <v>1+0.000782289882165743i</v>
      </c>
      <c r="U70" s="4">
        <f t="shared" si="66"/>
        <v>1.0000003059886831</v>
      </c>
      <c r="V70" s="4">
        <f t="shared" si="67"/>
        <v>7.8228972258454334E-4</v>
      </c>
      <c r="W70" t="str">
        <f t="shared" si="52"/>
        <v>1-0.000455122105648289i</v>
      </c>
      <c r="X70" s="4">
        <f t="shared" si="68"/>
        <v>1.0000001035680601</v>
      </c>
      <c r="Y70" s="4">
        <f t="shared" si="69"/>
        <v>-4.5512207422421556E-4</v>
      </c>
      <c r="Z70" t="str">
        <f t="shared" si="53"/>
        <v>0.999999998903522+0.000304653164597222i</v>
      </c>
      <c r="AA70" s="4">
        <f t="shared" si="70"/>
        <v>1.0000000453102964</v>
      </c>
      <c r="AB70" s="4">
        <f t="shared" si="71"/>
        <v>3.0465315550595403E-4</v>
      </c>
      <c r="AC70" s="47" t="str">
        <f t="shared" si="72"/>
        <v>19.570014195665-0.985131184337624i</v>
      </c>
      <c r="AD70" s="20">
        <f t="shared" si="73"/>
        <v>25.842813896874439</v>
      </c>
      <c r="AE70" s="43">
        <f t="shared" si="74"/>
        <v>-2.8817687487634047</v>
      </c>
      <c r="AF70" t="str">
        <f t="shared" si="54"/>
        <v>72.2956529813786</v>
      </c>
      <c r="AG70" t="str">
        <f t="shared" si="55"/>
        <v>1+0.0410702188137016i</v>
      </c>
      <c r="AH70">
        <f t="shared" si="75"/>
        <v>1.0008430260902084</v>
      </c>
      <c r="AI70">
        <f t="shared" si="76"/>
        <v>4.1047150249157928E-2</v>
      </c>
      <c r="AJ70" t="str">
        <f t="shared" si="56"/>
        <v>1+0.000782289882165743i</v>
      </c>
      <c r="AK70">
        <f t="shared" si="77"/>
        <v>1.0000003059886831</v>
      </c>
      <c r="AL70">
        <f t="shared" si="78"/>
        <v>7.8228972258454334E-4</v>
      </c>
      <c r="AM70" t="str">
        <f t="shared" si="57"/>
        <v>1-0.000100724590609524i</v>
      </c>
      <c r="AN70">
        <f t="shared" si="79"/>
        <v>1.0000000050727216</v>
      </c>
      <c r="AO70">
        <f t="shared" si="80"/>
        <v>-1.0072459026889212E-4</v>
      </c>
      <c r="AP70" s="41" t="str">
        <f t="shared" si="81"/>
        <v>72.1759386867407-2.91500738714625i</v>
      </c>
      <c r="AQ70">
        <f t="shared" si="82"/>
        <v>37.174927048373753</v>
      </c>
      <c r="AR70" s="43">
        <f t="shared" si="83"/>
        <v>-2.3127776647711524</v>
      </c>
      <c r="AS70" t="str">
        <f t="shared" si="58"/>
        <v>-0.0000166666666666667</v>
      </c>
      <c r="AT70" t="str">
        <f t="shared" si="59"/>
        <v>7.07389787064768E-07i</v>
      </c>
      <c r="AU70">
        <f t="shared" si="84"/>
        <v>7.0738978706476796E-7</v>
      </c>
      <c r="AV70">
        <f t="shared" si="85"/>
        <v>1.5707963267948966</v>
      </c>
      <c r="AW70" t="str">
        <f t="shared" si="60"/>
        <v>1+0.000706777858183226i</v>
      </c>
      <c r="AX70">
        <f t="shared" si="86"/>
        <v>1.0000002497674392</v>
      </c>
      <c r="AY70">
        <f t="shared" si="87"/>
        <v>7.0677774049651611E-4</v>
      </c>
      <c r="AZ70" t="str">
        <f t="shared" si="61"/>
        <v>1+0.0240304471782296i</v>
      </c>
      <c r="BA70">
        <f t="shared" si="88"/>
        <v>1.0002886895249719</v>
      </c>
      <c r="BB70">
        <f t="shared" si="89"/>
        <v>2.4025823220388147E-2</v>
      </c>
      <c r="BC70" s="41" t="str">
        <f t="shared" si="90"/>
        <v>-0.549523946946876+23.5611846757139i</v>
      </c>
      <c r="BD70">
        <f t="shared" si="91"/>
        <v>27.446304278342666</v>
      </c>
      <c r="BE70" s="43">
        <f t="shared" si="92"/>
        <v>91.336082888271406</v>
      </c>
      <c r="BF70" s="41" t="str">
        <f t="shared" si="93"/>
        <v>12.4566663213753+461.634071747083i</v>
      </c>
      <c r="BG70" s="20">
        <f t="shared" si="94"/>
        <v>53.289118175217098</v>
      </c>
      <c r="BH70" s="43">
        <f t="shared" si="95"/>
        <v>88.454314139508</v>
      </c>
      <c r="BI70" s="41" t="str">
        <f t="shared" si="101"/>
        <v>29.0186206778896+1702.15248690606i</v>
      </c>
      <c r="BJ70" s="20">
        <f t="shared" si="97"/>
        <v>64.621231326716384</v>
      </c>
      <c r="BK70" s="43">
        <f t="shared" si="102"/>
        <v>89.023305223500259</v>
      </c>
      <c r="BL70">
        <f t="shared" si="99"/>
        <v>53.289118175217098</v>
      </c>
      <c r="BM70" s="43">
        <f t="shared" si="100"/>
        <v>88.454314139508</v>
      </c>
    </row>
    <row r="71" spans="1:65" x14ac:dyDescent="0.25">
      <c r="A71" t="s">
        <v>459</v>
      </c>
      <c r="B71">
        <f>(Fsw*Gcomp)/((R_cs*Acs*(VIN_var/Lm))+((R_sl+Rsl_int)*Isl))</f>
        <v>11.111105555558334</v>
      </c>
      <c r="C71" t="s">
        <v>150</v>
      </c>
      <c r="E71" s="158"/>
      <c r="N71" s="9">
        <v>53</v>
      </c>
      <c r="O71" s="34">
        <f t="shared" si="62"/>
        <v>33.884415613920268</v>
      </c>
      <c r="P71" s="33" t="str">
        <f t="shared" si="50"/>
        <v>19.6196196196196</v>
      </c>
      <c r="Q71" s="4" t="str">
        <f t="shared" si="63"/>
        <v>1+0.0515344466484333i</v>
      </c>
      <c r="R71" s="4">
        <f t="shared" si="64"/>
        <v>1.0013270191058266</v>
      </c>
      <c r="S71" s="4">
        <f t="shared" si="65"/>
        <v>5.1488897494165388E-2</v>
      </c>
      <c r="T71" s="4" t="str">
        <f t="shared" si="51"/>
        <v>1+0.000800511754352339i</v>
      </c>
      <c r="U71" s="4">
        <f t="shared" si="66"/>
        <v>1.0000003204094832</v>
      </c>
      <c r="V71" s="4">
        <f t="shared" si="67"/>
        <v>8.0051158335800573E-4</v>
      </c>
      <c r="W71" t="str">
        <f t="shared" si="52"/>
        <v>1-0.000465723261341953i</v>
      </c>
      <c r="X71" s="4">
        <f t="shared" si="68"/>
        <v>1.0000001084490722</v>
      </c>
      <c r="Y71" s="4">
        <f t="shared" si="69"/>
        <v>-4.657232276704518E-4</v>
      </c>
      <c r="Z71" t="str">
        <f t="shared" si="53"/>
        <v>0.999999998851846+0.000311749448408491i</v>
      </c>
      <c r="AA71" s="4">
        <f t="shared" si="70"/>
        <v>1.0000000474457043</v>
      </c>
      <c r="AB71" s="4">
        <f t="shared" si="71"/>
        <v>3.1174943866702209E-4</v>
      </c>
      <c r="AC71" s="47" t="str">
        <f t="shared" si="72"/>
        <v>19.5676825564187-1.00795767777648i</v>
      </c>
      <c r="AD71" s="20">
        <f t="shared" si="73"/>
        <v>25.842296275097006</v>
      </c>
      <c r="AE71" s="43">
        <f t="shared" si="74"/>
        <v>-2.9487764854875587</v>
      </c>
      <c r="AF71" t="str">
        <f t="shared" si="54"/>
        <v>72.2956529813786</v>
      </c>
      <c r="AG71" t="str">
        <f t="shared" si="55"/>
        <v>1+0.0420268671034978i</v>
      </c>
      <c r="AH71">
        <f t="shared" si="75"/>
        <v>1.0008827391650508</v>
      </c>
      <c r="AI71">
        <f t="shared" si="76"/>
        <v>4.2002149868522555E-2</v>
      </c>
      <c r="AJ71" t="str">
        <f t="shared" si="56"/>
        <v>1+0.000800511754352339i</v>
      </c>
      <c r="AK71">
        <f t="shared" si="77"/>
        <v>1.0000003204094832</v>
      </c>
      <c r="AL71">
        <f t="shared" si="78"/>
        <v>8.0051158335800573E-4</v>
      </c>
      <c r="AM71" t="str">
        <f t="shared" si="57"/>
        <v>1-0.000103070767721074i</v>
      </c>
      <c r="AN71">
        <f t="shared" si="79"/>
        <v>1.0000000053117915</v>
      </c>
      <c r="AO71">
        <f t="shared" si="80"/>
        <v>-1.0307076735608037E-4</v>
      </c>
      <c r="AP71" s="41" t="str">
        <f t="shared" si="81"/>
        <v>72.1703066734396-2.98266993583884i</v>
      </c>
      <c r="AQ71">
        <f t="shared" si="82"/>
        <v>37.174582529711458</v>
      </c>
      <c r="AR71" s="43">
        <f t="shared" si="83"/>
        <v>-2.3665855027252358</v>
      </c>
      <c r="AS71" t="str">
        <f t="shared" si="58"/>
        <v>-0.0000166666666666667</v>
      </c>
      <c r="AT71" t="str">
        <f t="shared" si="59"/>
        <v>7.23867011914351E-07i</v>
      </c>
      <c r="AU71">
        <f t="shared" si="84"/>
        <v>7.2386701191435104E-7</v>
      </c>
      <c r="AV71">
        <f t="shared" si="85"/>
        <v>1.5707963267948966</v>
      </c>
      <c r="AW71" t="str">
        <f t="shared" si="60"/>
        <v>1+0.000723240829378093i</v>
      </c>
      <c r="AX71">
        <f t="shared" si="86"/>
        <v>1.0000002615386143</v>
      </c>
      <c r="AY71">
        <f t="shared" si="87"/>
        <v>7.2324070327451316E-4</v>
      </c>
      <c r="AZ71" t="str">
        <f t="shared" si="61"/>
        <v>1+0.0245901881988551i</v>
      </c>
      <c r="BA71">
        <f t="shared" si="88"/>
        <v>1.0003022929873024</v>
      </c>
      <c r="BB71">
        <f t="shared" si="89"/>
        <v>2.4585233619625658E-2</v>
      </c>
      <c r="BC71" s="41" t="str">
        <f t="shared" si="90"/>
        <v>-0.549523934009793+23.0248845225755i</v>
      </c>
      <c r="BD71">
        <f t="shared" si="91"/>
        <v>27.246422299367673</v>
      </c>
      <c r="BE71" s="43">
        <f t="shared" si="92"/>
        <v>91.367191484877978</v>
      </c>
      <c r="BF71" s="41" t="str">
        <f t="shared" si="93"/>
        <v>12.4551992365888+451.097528104363i</v>
      </c>
      <c r="BG71" s="20">
        <f t="shared" si="94"/>
        <v>53.088718574464686</v>
      </c>
      <c r="BH71" s="43">
        <f t="shared" si="95"/>
        <v>88.418414999390436</v>
      </c>
      <c r="BI71" s="41" t="str">
        <f t="shared" si="101"/>
        <v>29.0163199997652+1663.3520256318i</v>
      </c>
      <c r="BJ71" s="20">
        <f t="shared" si="97"/>
        <v>64.421004829079124</v>
      </c>
      <c r="BK71" s="43">
        <f t="shared" si="102"/>
        <v>89.000605982152749</v>
      </c>
      <c r="BL71">
        <f t="shared" si="99"/>
        <v>53.088718574464686</v>
      </c>
      <c r="BM71" s="43">
        <f t="shared" si="100"/>
        <v>88.418414999390436</v>
      </c>
    </row>
    <row r="72" spans="1:65" x14ac:dyDescent="0.25">
      <c r="A72" t="s">
        <v>458</v>
      </c>
      <c r="B72">
        <f>(B71*2*VOUT/DC_VIN_var_DCM)*(((VOUT/VIN_var)-1)/((2*VOUT/VIN_var)-1))</f>
        <v>72.295652981378637</v>
      </c>
      <c r="C72" t="s">
        <v>150</v>
      </c>
      <c r="N72" s="9">
        <v>54</v>
      </c>
      <c r="O72" s="34">
        <f t="shared" si="62"/>
        <v>34.67368504525318</v>
      </c>
      <c r="P72" s="33" t="str">
        <f t="shared" si="50"/>
        <v>19.6196196196196</v>
      </c>
      <c r="Q72" s="4" t="str">
        <f t="shared" si="63"/>
        <v>1+0.0527348381164082i</v>
      </c>
      <c r="R72" s="4">
        <f t="shared" si="64"/>
        <v>1.0013895161979496</v>
      </c>
      <c r="S72" s="4">
        <f t="shared" si="65"/>
        <v>5.2686034975211522E-2</v>
      </c>
      <c r="T72" s="4" t="str">
        <f t="shared" si="51"/>
        <v>1+0.000819158068467121i</v>
      </c>
      <c r="U72" s="4">
        <f t="shared" si="66"/>
        <v>1.0000003355099143</v>
      </c>
      <c r="V72" s="4">
        <f t="shared" si="67"/>
        <v>8.1915788524339513E-4</v>
      </c>
      <c r="W72" t="str">
        <f t="shared" si="52"/>
        <v>1-0.000476571349673359i</v>
      </c>
      <c r="X72" s="4">
        <f t="shared" si="68"/>
        <v>1.0000001135601191</v>
      </c>
      <c r="Y72" s="4">
        <f t="shared" si="69"/>
        <v>-4.7657131359369568E-4</v>
      </c>
      <c r="Z72" t="str">
        <f t="shared" si="53"/>
        <v>0.999999998797736+0.000319011025903799i</v>
      </c>
      <c r="AA72" s="4">
        <f t="shared" si="70"/>
        <v>1.000000049681752</v>
      </c>
      <c r="AB72" s="4">
        <f t="shared" si="71"/>
        <v>3.1901101546562668E-4</v>
      </c>
      <c r="AC72" s="47" t="str">
        <f t="shared" si="72"/>
        <v>19.5652416261712-1.0313073062352i</v>
      </c>
      <c r="AD72" s="20">
        <f t="shared" si="73"/>
        <v>25.841754324710294</v>
      </c>
      <c r="AE72" s="43">
        <f t="shared" si="74"/>
        <v>-3.0173366634892269</v>
      </c>
      <c r="AF72" t="str">
        <f t="shared" si="54"/>
        <v>72.2956529813786</v>
      </c>
      <c r="AG72" t="str">
        <f t="shared" si="55"/>
        <v>1+0.0430057985945239i</v>
      </c>
      <c r="AH72">
        <f t="shared" si="75"/>
        <v>1.0009243221706388</v>
      </c>
      <c r="AI72">
        <f t="shared" si="76"/>
        <v>4.2979314920849526E-2</v>
      </c>
      <c r="AJ72" t="str">
        <f t="shared" si="56"/>
        <v>1+0.000819158068467121i</v>
      </c>
      <c r="AK72">
        <f t="shared" si="77"/>
        <v>1.0000003355099143</v>
      </c>
      <c r="AL72">
        <f t="shared" si="78"/>
        <v>8.1915788524339513E-4</v>
      </c>
      <c r="AM72" t="str">
        <f t="shared" si="57"/>
        <v>1-0.000105471594317972i</v>
      </c>
      <c r="AN72">
        <f t="shared" si="79"/>
        <v>1.0000000055621285</v>
      </c>
      <c r="AO72">
        <f t="shared" si="80"/>
        <v>-1.0547159392687428E-4</v>
      </c>
      <c r="AP72" s="41" t="str">
        <f t="shared" si="81"/>
        <v>72.1644101894824-3.0518916606289i</v>
      </c>
      <c r="AQ72">
        <f t="shared" si="82"/>
        <v>37.174221803696582</v>
      </c>
      <c r="AR72" s="43">
        <f t="shared" si="83"/>
        <v>-2.4216421389395446</v>
      </c>
      <c r="AS72" t="str">
        <f t="shared" si="58"/>
        <v>-0.0000166666666666667</v>
      </c>
      <c r="AT72" t="str">
        <f t="shared" si="59"/>
        <v>7.40728040635165E-07i</v>
      </c>
      <c r="AU72">
        <f t="shared" si="84"/>
        <v>7.4072804063516505E-7</v>
      </c>
      <c r="AV72">
        <f t="shared" si="85"/>
        <v>1.5707963267948966</v>
      </c>
      <c r="AW72" t="str">
        <f t="shared" si="60"/>
        <v>1+0.000740087272433923i</v>
      </c>
      <c r="AX72">
        <f t="shared" si="86"/>
        <v>1.0000002738645479</v>
      </c>
      <c r="AY72">
        <f t="shared" si="87"/>
        <v>7.4008713731150478E-4</v>
      </c>
      <c r="AZ72" t="str">
        <f t="shared" si="61"/>
        <v>1+0.0251629672627534i</v>
      </c>
      <c r="BA72">
        <f t="shared" si="88"/>
        <v>1.000316537362782</v>
      </c>
      <c r="BB72">
        <f t="shared" si="89"/>
        <v>2.5157658426187321E-2</v>
      </c>
      <c r="BC72" s="41" t="str">
        <f t="shared" si="90"/>
        <v>-0.549523920463008+22.5007924679804i</v>
      </c>
      <c r="BD72">
        <f t="shared" si="91"/>
        <v>27.046545879108777</v>
      </c>
      <c r="BE72" s="43">
        <f t="shared" si="92"/>
        <v>91.399023780812399</v>
      </c>
      <c r="BF72" s="41" t="str">
        <f t="shared" si="93"/>
        <v>12.4536633850905+440.800169450494i</v>
      </c>
      <c r="BG72" s="20">
        <f t="shared" si="94"/>
        <v>52.888300203819078</v>
      </c>
      <c r="BH72" s="43">
        <f t="shared" si="95"/>
        <v>88.381687117323182</v>
      </c>
      <c r="BI72" s="41" t="str">
        <f t="shared" si="101"/>
        <v>29.0139112853459+1625.43350471793i</v>
      </c>
      <c r="BJ72" s="20">
        <f t="shared" si="97"/>
        <v>64.220767682805359</v>
      </c>
      <c r="BK72" s="43">
        <f t="shared" si="102"/>
        <v>88.977381641872867</v>
      </c>
      <c r="BL72">
        <f t="shared" si="99"/>
        <v>52.888300203819078</v>
      </c>
      <c r="BM72" s="43">
        <f t="shared" si="100"/>
        <v>88.381687117323182</v>
      </c>
    </row>
    <row r="73" spans="1:65" x14ac:dyDescent="0.25">
      <c r="A73" t="s">
        <v>483</v>
      </c>
      <c r="B73">
        <f>(IOUT_VAR*((2*VOUT)-VIN_var))/(Cout*VOUT*(VOUT-VIN_var))</f>
        <v>5065.8561296859161</v>
      </c>
      <c r="C73" t="s">
        <v>385</v>
      </c>
      <c r="N73" s="9">
        <v>55</v>
      </c>
      <c r="O73" s="34">
        <f t="shared" si="62"/>
        <v>35.481338923357555</v>
      </c>
      <c r="P73" s="33" t="str">
        <f t="shared" si="50"/>
        <v>19.6196196196196</v>
      </c>
      <c r="Q73" s="4" t="str">
        <f t="shared" si="63"/>
        <v>1+0.0539631902935805i</v>
      </c>
      <c r="R73" s="4">
        <f t="shared" si="64"/>
        <v>1.0014549545070219</v>
      </c>
      <c r="S73" s="4">
        <f t="shared" si="65"/>
        <v>5.3910900888035664E-2</v>
      </c>
      <c r="T73" s="4" t="str">
        <f t="shared" si="51"/>
        <v>1+0.000838238711032643i</v>
      </c>
      <c r="U73" s="4">
        <f t="shared" si="66"/>
        <v>1.0000003513220066</v>
      </c>
      <c r="V73" s="4">
        <f t="shared" si="67"/>
        <v>8.3823851470488727E-4</v>
      </c>
      <c r="W73" t="str">
        <f t="shared" si="52"/>
        <v>1-0.000487672122442529i</v>
      </c>
      <c r="X73" s="4">
        <f t="shared" si="68"/>
        <v>1.0000001189120424</v>
      </c>
      <c r="Y73" s="4">
        <f t="shared" si="69"/>
        <v>-4.876720837824735E-4</v>
      </c>
      <c r="Z73" t="str">
        <f t="shared" si="53"/>
        <v>0.999999998741075+0.000326441747267652i</v>
      </c>
      <c r="AA73" s="4">
        <f t="shared" si="70"/>
        <v>1.0000000520231809</v>
      </c>
      <c r="AB73" s="4">
        <f t="shared" si="71"/>
        <v>3.2644173608294889E-4</v>
      </c>
      <c r="AC73" s="47" t="str">
        <f t="shared" si="72"/>
        <v>19.5626863114302-1.05519164654324i</v>
      </c>
      <c r="AD73" s="20">
        <f t="shared" si="73"/>
        <v>25.841186905506405</v>
      </c>
      <c r="AE73" s="43">
        <f t="shared" si="74"/>
        <v>-3.0874848474361833</v>
      </c>
      <c r="AF73" t="str">
        <f t="shared" si="54"/>
        <v>72.2956529813786</v>
      </c>
      <c r="AG73" t="str">
        <f t="shared" si="55"/>
        <v>1+0.0440075323292138i</v>
      </c>
      <c r="AH73">
        <f t="shared" si="75"/>
        <v>1.000967863071391</v>
      </c>
      <c r="AI73">
        <f t="shared" si="76"/>
        <v>4.3979156043350481E-2</v>
      </c>
      <c r="AJ73" t="str">
        <f t="shared" si="56"/>
        <v>1+0.000838238711032643i</v>
      </c>
      <c r="AK73">
        <f t="shared" si="77"/>
        <v>1.0000003513220066</v>
      </c>
      <c r="AL73">
        <f t="shared" si="78"/>
        <v>8.3823851470488727E-4</v>
      </c>
      <c r="AM73" t="str">
        <f t="shared" si="57"/>
        <v>1-0.000107928343350259i</v>
      </c>
      <c r="AN73">
        <f t="shared" si="79"/>
        <v>1.0000000058242635</v>
      </c>
      <c r="AO73">
        <f t="shared" si="80"/>
        <v>-1.0792834293119025E-4</v>
      </c>
      <c r="AP73" s="41" t="str">
        <f t="shared" si="81"/>
        <v>72.1582368629108-3.12270767665295i</v>
      </c>
      <c r="AQ73">
        <f t="shared" si="82"/>
        <v>37.173844109322722</v>
      </c>
      <c r="AR73" s="43">
        <f t="shared" si="83"/>
        <v>-2.477976337253148</v>
      </c>
      <c r="AS73" t="str">
        <f t="shared" si="58"/>
        <v>-0.0000166666666666667</v>
      </c>
      <c r="AT73" t="str">
        <f t="shared" si="59"/>
        <v>7.57981813167818E-07i</v>
      </c>
      <c r="AU73">
        <f t="shared" si="84"/>
        <v>7.5798181316781795E-7</v>
      </c>
      <c r="AV73">
        <f t="shared" si="85"/>
        <v>1.5707963267948966</v>
      </c>
      <c r="AW73" t="str">
        <f t="shared" si="60"/>
        <v>1+0.000757326119557811i</v>
      </c>
      <c r="AX73">
        <f t="shared" si="86"/>
        <v>1.0000002867713846</v>
      </c>
      <c r="AY73">
        <f t="shared" si="87"/>
        <v>7.5732597477153355E-4</v>
      </c>
      <c r="AZ73" t="str">
        <f t="shared" si="61"/>
        <v>1+0.0257490880649655i</v>
      </c>
      <c r="BA73">
        <f t="shared" si="88"/>
        <v>1.0003314528375968</v>
      </c>
      <c r="BB73">
        <f t="shared" si="89"/>
        <v>2.5743399645890404E-2</v>
      </c>
      <c r="BC73" s="41" t="str">
        <f t="shared" si="90"/>
        <v>-0.549523906277778+21.9886306313842i</v>
      </c>
      <c r="BD73">
        <f t="shared" si="91"/>
        <v>26.846675279208295</v>
      </c>
      <c r="BE73" s="43">
        <f t="shared" si="92"/>
        <v>91.431596567958053</v>
      </c>
      <c r="BF73" s="41" t="str">
        <f t="shared" si="93"/>
        <v>12.4520555620175+430.736536495155i</v>
      </c>
      <c r="BG73" s="20">
        <f t="shared" si="94"/>
        <v>52.687862184714703</v>
      </c>
      <c r="BH73" s="43">
        <f t="shared" si="95"/>
        <v>88.34411172052188</v>
      </c>
      <c r="BI73" s="41" t="str">
        <f t="shared" si="101"/>
        <v>29.0113894806857+1588.37681991111i</v>
      </c>
      <c r="BJ73" s="20">
        <f t="shared" si="97"/>
        <v>64.020519388531</v>
      </c>
      <c r="BK73" s="43">
        <f t="shared" si="102"/>
        <v>88.953620230704914</v>
      </c>
      <c r="BL73">
        <f t="shared" si="99"/>
        <v>52.687862184714703</v>
      </c>
      <c r="BM73" s="43">
        <f t="shared" si="100"/>
        <v>88.34411172052188</v>
      </c>
    </row>
    <row r="74" spans="1:65" x14ac:dyDescent="0.25">
      <c r="B74">
        <f>B73/(2*PI())</f>
        <v>806.25604403189118</v>
      </c>
      <c r="C74" t="s">
        <v>65</v>
      </c>
      <c r="N74" s="9">
        <v>56</v>
      </c>
      <c r="O74" s="34">
        <f t="shared" si="62"/>
        <v>36.307805477010156</v>
      </c>
      <c r="P74" s="33" t="str">
        <f t="shared" si="50"/>
        <v>19.6196196196196</v>
      </c>
      <c r="Q74" s="4" t="str">
        <f t="shared" si="63"/>
        <v>1+0.0552201544685339i</v>
      </c>
      <c r="R74" s="4">
        <f t="shared" si="64"/>
        <v>1.0015234722459223</v>
      </c>
      <c r="S74" s="4">
        <f t="shared" si="65"/>
        <v>5.5164129963126064E-2</v>
      </c>
      <c r="T74" s="4" t="str">
        <f t="shared" si="51"/>
        <v>1+0.000857763798858159i</v>
      </c>
      <c r="U74" s="4">
        <f t="shared" si="66"/>
        <v>1.0000003678792997</v>
      </c>
      <c r="V74" s="4">
        <f t="shared" si="67"/>
        <v>8.5776358848918273E-4</v>
      </c>
      <c r="W74" t="str">
        <f t="shared" si="52"/>
        <v>1-0.000499031465426124i</v>
      </c>
      <c r="X74" s="4">
        <f t="shared" si="68"/>
        <v>1.000000124516194</v>
      </c>
      <c r="Y74" s="4">
        <f t="shared" si="69"/>
        <v>-4.9903142400112841E-4</v>
      </c>
      <c r="Z74" t="str">
        <f t="shared" si="53"/>
        <v>0.999999998681743+0.000334045552366874i</v>
      </c>
      <c r="AA74" s="4">
        <f t="shared" si="70"/>
        <v>1.000000054474957</v>
      </c>
      <c r="AB74" s="4">
        <f t="shared" si="71"/>
        <v>3.3404554038224903E-4</v>
      </c>
      <c r="AC74" s="47" t="str">
        <f t="shared" si="72"/>
        <v>19.5600112841407-1.07962250212981i</v>
      </c>
      <c r="AD74" s="20">
        <f t="shared" si="73"/>
        <v>25.840592824152644</v>
      </c>
      <c r="AE74" s="43">
        <f t="shared" si="74"/>
        <v>-3.1592573880265924</v>
      </c>
      <c r="AF74" t="str">
        <f t="shared" si="54"/>
        <v>72.2956529813786</v>
      </c>
      <c r="AG74" t="str">
        <f t="shared" si="55"/>
        <v>1+0.0450325994400534i</v>
      </c>
      <c r="AH74">
        <f t="shared" si="75"/>
        <v>1.0010134539616979</v>
      </c>
      <c r="AI74">
        <f t="shared" si="76"/>
        <v>4.500219536428194E-2</v>
      </c>
      <c r="AJ74" t="str">
        <f t="shared" si="56"/>
        <v>1+0.000857763798858159i</v>
      </c>
      <c r="AK74">
        <f t="shared" si="77"/>
        <v>1.0000003678792997</v>
      </c>
      <c r="AL74">
        <f t="shared" si="78"/>
        <v>8.5776358848918273E-4</v>
      </c>
      <c r="AM74" t="str">
        <f t="shared" si="57"/>
        <v>1-0.000110442317418792i</v>
      </c>
      <c r="AN74">
        <f t="shared" si="79"/>
        <v>1.0000000060987526</v>
      </c>
      <c r="AO74">
        <f t="shared" si="80"/>
        <v>-1.1044231696975174E-4</v>
      </c>
      <c r="AP74" s="41" t="str">
        <f t="shared" si="81"/>
        <v>72.1517737475465-3.19515383157495i</v>
      </c>
      <c r="AQ74">
        <f t="shared" si="82"/>
        <v>37.173448649989879</v>
      </c>
      <c r="AR74" s="43">
        <f t="shared" si="83"/>
        <v>-2.5356175083981385</v>
      </c>
      <c r="AS74" t="str">
        <f t="shared" si="58"/>
        <v>-0.0000166666666666667</v>
      </c>
      <c r="AT74" t="str">
        <f t="shared" si="59"/>
        <v>7.75637477690888E-07i</v>
      </c>
      <c r="AU74">
        <f t="shared" si="84"/>
        <v>7.7563747769088796E-7</v>
      </c>
      <c r="AV74">
        <f t="shared" si="85"/>
        <v>1.5707963267948966</v>
      </c>
      <c r="AW74" t="str">
        <f t="shared" si="60"/>
        <v>1+0.000774966511014687i</v>
      </c>
      <c r="AX74">
        <f t="shared" si="86"/>
        <v>1.0000003002865014</v>
      </c>
      <c r="AY74">
        <f t="shared" si="87"/>
        <v>7.74966355873398E-4</v>
      </c>
      <c r="AZ74" t="str">
        <f t="shared" si="61"/>
        <v>1+0.0263488613744993i</v>
      </c>
      <c r="BA74">
        <f t="shared" si="88"/>
        <v>1.0003470710187203</v>
      </c>
      <c r="BB74">
        <f t="shared" si="89"/>
        <v>2.6342766237853595E-2</v>
      </c>
      <c r="BC74" s="41" t="str">
        <f t="shared" si="90"/>
        <v>-0.549523891424026+21.4881274578017i</v>
      </c>
      <c r="BD74">
        <f t="shared" si="91"/>
        <v>26.646810773607214</v>
      </c>
      <c r="BE74" s="43">
        <f t="shared" si="92"/>
        <v>91.464927024672548</v>
      </c>
      <c r="BF74" s="41" t="str">
        <f t="shared" si="93"/>
        <v>12.4503724149173+420.901293908294i</v>
      </c>
      <c r="BG74" s="20">
        <f t="shared" si="94"/>
        <v>52.487403597759858</v>
      </c>
      <c r="BH74" s="43">
        <f t="shared" si="95"/>
        <v>88.305669636645959</v>
      </c>
      <c r="BI74" s="41" t="str">
        <f t="shared" si="101"/>
        <v>29.0087492972684+1552.16232396098i</v>
      </c>
      <c r="BJ74" s="20">
        <f t="shared" si="97"/>
        <v>63.820259423597115</v>
      </c>
      <c r="BK74" s="43">
        <f t="shared" si="102"/>
        <v>88.929309516274415</v>
      </c>
      <c r="BL74">
        <f t="shared" si="99"/>
        <v>52.487403597759858</v>
      </c>
      <c r="BM74" s="43">
        <f t="shared" si="100"/>
        <v>88.305669636645959</v>
      </c>
    </row>
    <row r="75" spans="1:65" x14ac:dyDescent="0.25">
      <c r="A75" t="s">
        <v>461</v>
      </c>
      <c r="B75">
        <f>1/(Cout*Resr)</f>
        <v>265957.44680851063</v>
      </c>
      <c r="C75" t="s">
        <v>385</v>
      </c>
      <c r="N75" s="9">
        <v>57</v>
      </c>
      <c r="O75" s="34">
        <f t="shared" si="62"/>
        <v>37.15352290971726</v>
      </c>
      <c r="P75" s="33" t="str">
        <f t="shared" si="50"/>
        <v>19.6196196196196</v>
      </c>
      <c r="Q75" s="4" t="str">
        <f t="shared" si="63"/>
        <v>1+0.0565063971003116i</v>
      </c>
      <c r="R75" s="4">
        <f t="shared" si="64"/>
        <v>1.0015952141026125</v>
      </c>
      <c r="S75" s="4">
        <f t="shared" si="65"/>
        <v>5.6446370923800566E-2</v>
      </c>
      <c r="T75" s="4" t="str">
        <f t="shared" si="51"/>
        <v>1+0.000877743684403672i</v>
      </c>
      <c r="U75" s="4">
        <f t="shared" si="66"/>
        <v>1.0000003852169135</v>
      </c>
      <c r="V75" s="4">
        <f t="shared" si="67"/>
        <v>8.7774345898925746E-4</v>
      </c>
      <c r="W75" t="str">
        <f t="shared" si="52"/>
        <v>1-0.000510655401498148i</v>
      </c>
      <c r="X75" s="4">
        <f t="shared" si="68"/>
        <v>1.000000130384461</v>
      </c>
      <c r="Y75" s="4">
        <f t="shared" si="69"/>
        <v>-5.1065535711046592E-4</v>
      </c>
      <c r="Z75" t="str">
        <f t="shared" si="53"/>
        <v>0.999999998619616+0.000341826472839576i</v>
      </c>
      <c r="AA75" s="4">
        <f t="shared" si="70"/>
        <v>1.0000000570422831</v>
      </c>
      <c r="AB75" s="4">
        <f t="shared" si="71"/>
        <v>3.418264599978188E-4</v>
      </c>
      <c r="AC75" s="47" t="str">
        <f t="shared" si="72"/>
        <v>19.5572109711534-1.10461190527867i</v>
      </c>
      <c r="AD75" s="20">
        <f t="shared" si="73"/>
        <v>25.839970831745987</v>
      </c>
      <c r="AE75" s="43">
        <f t="shared" si="74"/>
        <v>-3.2326914373003799</v>
      </c>
      <c r="AF75" t="str">
        <f t="shared" si="54"/>
        <v>72.2956529813786</v>
      </c>
      <c r="AG75" t="str">
        <f t="shared" si="55"/>
        <v>1+0.0460815434311928i</v>
      </c>
      <c r="AH75">
        <f t="shared" si="75"/>
        <v>1.0010611912590563</v>
      </c>
      <c r="AI75">
        <f t="shared" si="76"/>
        <v>4.6048966741975728E-2</v>
      </c>
      <c r="AJ75" t="str">
        <f t="shared" si="56"/>
        <v>1+0.000877743684403672i</v>
      </c>
      <c r="AK75">
        <f t="shared" si="77"/>
        <v>1.0000003852169135</v>
      </c>
      <c r="AL75">
        <f t="shared" si="78"/>
        <v>8.7774345898925746E-4</v>
      </c>
      <c r="AM75" t="str">
        <f t="shared" si="57"/>
        <v>1-0.000113014849465896i</v>
      </c>
      <c r="AN75">
        <f t="shared" si="79"/>
        <v>1.000000006386178</v>
      </c>
      <c r="AO75">
        <f t="shared" si="80"/>
        <v>-1.1301484898474069E-4</v>
      </c>
      <c r="AP75" s="41" t="str">
        <f t="shared" si="81"/>
        <v>72.1450072967781-3.26926671661468i</v>
      </c>
      <c r="AQ75">
        <f t="shared" si="82"/>
        <v>37.173034591853096</v>
      </c>
      <c r="AR75" s="43">
        <f t="shared" si="83"/>
        <v>-2.5945957234273331</v>
      </c>
      <c r="AS75" t="str">
        <f t="shared" si="58"/>
        <v>-0.0000166666666666667</v>
      </c>
      <c r="AT75" t="str">
        <f t="shared" si="59"/>
        <v>7.93704395471405E-07i</v>
      </c>
      <c r="AU75">
        <f t="shared" si="84"/>
        <v>7.9370439547140504E-7</v>
      </c>
      <c r="AV75">
        <f t="shared" si="85"/>
        <v>1.5707963267948966</v>
      </c>
      <c r="AW75" t="str">
        <f t="shared" si="60"/>
        <v>1+0.000793017799973595i</v>
      </c>
      <c r="AX75">
        <f t="shared" si="86"/>
        <v>1.0000003144385661</v>
      </c>
      <c r="AY75">
        <f t="shared" si="87"/>
        <v>7.9301763373671168E-4</v>
      </c>
      <c r="AZ75" t="str">
        <f t="shared" si="61"/>
        <v>1+0.0269626051991022i</v>
      </c>
      <c r="BA75">
        <f t="shared" si="88"/>
        <v>1.0003634250006959</v>
      </c>
      <c r="BB75">
        <f t="shared" si="89"/>
        <v>2.6956074270657635E-2</v>
      </c>
      <c r="BC75" s="41" t="str">
        <f t="shared" si="90"/>
        <v>-0.549523875870236+20.999017573825i</v>
      </c>
      <c r="BD75">
        <f t="shared" si="91"/>
        <v>26.446952649121837</v>
      </c>
      <c r="BE75" s="43">
        <f t="shared" si="92"/>
        <v>91.499032724457322</v>
      </c>
      <c r="BF75" s="41" t="str">
        <f t="shared" si="93"/>
        <v>12.448610437123+411.289227493774i</v>
      </c>
      <c r="BG75" s="20">
        <f t="shared" si="94"/>
        <v>52.28692348086782</v>
      </c>
      <c r="BH75" s="43">
        <f t="shared" si="95"/>
        <v>88.266341287156934</v>
      </c>
      <c r="BI75" s="41" t="str">
        <f t="shared" si="101"/>
        <v>29.0059852013009+1516.77081620614i</v>
      </c>
      <c r="BJ75" s="20">
        <f t="shared" si="97"/>
        <v>63.619987240974908</v>
      </c>
      <c r="BK75" s="43">
        <f t="shared" si="102"/>
        <v>88.904437001029976</v>
      </c>
      <c r="BL75">
        <f t="shared" si="99"/>
        <v>52.28692348086782</v>
      </c>
      <c r="BM75" s="43">
        <f t="shared" si="100"/>
        <v>88.266341287156934</v>
      </c>
    </row>
    <row r="76" spans="1:65" x14ac:dyDescent="0.25">
      <c r="B76">
        <f>B75/(2*PI())</f>
        <v>42328.442311674291</v>
      </c>
      <c r="C76" t="s">
        <v>65</v>
      </c>
      <c r="N76" s="9">
        <v>58</v>
      </c>
      <c r="O76" s="34">
        <f t="shared" si="62"/>
        <v>38.018939632056139</v>
      </c>
      <c r="P76" s="33" t="str">
        <f t="shared" si="50"/>
        <v>19.6196196196196</v>
      </c>
      <c r="Q76" s="4" t="str">
        <f t="shared" si="63"/>
        <v>1+0.0578226001717823i</v>
      </c>
      <c r="R76" s="4">
        <f t="shared" si="64"/>
        <v>1.0016703315415836</v>
      </c>
      <c r="S76" s="4">
        <f t="shared" si="65"/>
        <v>5.7758286756149864E-2</v>
      </c>
      <c r="T76" s="4" t="str">
        <f t="shared" si="51"/>
        <v>1+0.000898188961268967i</v>
      </c>
      <c r="U76" s="4">
        <f t="shared" si="66"/>
        <v>1.0000004033716237</v>
      </c>
      <c r="V76" s="4">
        <f t="shared" si="67"/>
        <v>8.9818871973307529E-4</v>
      </c>
      <c r="W76" t="str">
        <f t="shared" si="52"/>
        <v>1-0.000522550093823369i</v>
      </c>
      <c r="X76" s="4">
        <f t="shared" si="68"/>
        <v>1.000000136529291</v>
      </c>
      <c r="Y76" s="4">
        <f t="shared" si="69"/>
        <v>-5.2255004626111103E-4</v>
      </c>
      <c r="Z76" t="str">
        <f t="shared" si="53"/>
        <v>0.99999999855456+0.000349788634232786i</v>
      </c>
      <c r="AA76" s="4">
        <f t="shared" si="70"/>
        <v>1.0000000597306027</v>
      </c>
      <c r="AB76" s="4">
        <f t="shared" si="71"/>
        <v>3.4978862047259547E-4</v>
      </c>
      <c r="AC76" s="47" t="str">
        <f t="shared" si="72"/>
        <v>19.5542795432486-1.13017211922606i</v>
      </c>
      <c r="AD76" s="20">
        <f t="shared" si="73"/>
        <v>25.839319621258841</v>
      </c>
      <c r="AE76" s="43">
        <f t="shared" si="74"/>
        <v>-3.307824964096691</v>
      </c>
      <c r="AF76" t="str">
        <f t="shared" si="54"/>
        <v>72.2956529813786</v>
      </c>
      <c r="AG76" t="str">
        <f t="shared" si="55"/>
        <v>1+0.0471549204666208i</v>
      </c>
      <c r="AH76">
        <f t="shared" si="75"/>
        <v>1.0011111759061595</v>
      </c>
      <c r="AI76">
        <f t="shared" si="76"/>
        <v>4.7120016007417977E-2</v>
      </c>
      <c r="AJ76" t="str">
        <f t="shared" si="56"/>
        <v>1+0.000898188961268967i</v>
      </c>
      <c r="AK76">
        <f t="shared" si="77"/>
        <v>1.0000004033716237</v>
      </c>
      <c r="AL76">
        <f t="shared" si="78"/>
        <v>8.9818871973307529E-4</v>
      </c>
      <c r="AM76" t="str">
        <f t="shared" si="57"/>
        <v>1-0.000115647303482116i</v>
      </c>
      <c r="AN76">
        <f t="shared" si="79"/>
        <v>1.0000000066871493</v>
      </c>
      <c r="AO76">
        <f t="shared" si="80"/>
        <v>-1.1564730296654881E-4</v>
      </c>
      <c r="AP76" s="41" t="str">
        <f t="shared" si="81"/>
        <v>72.137923336192-3.34508367741049i</v>
      </c>
      <c r="AQ76">
        <f t="shared" si="82"/>
        <v>37.172601062095637</v>
      </c>
      <c r="AR76" s="43">
        <f t="shared" si="83"/>
        <v>-2.6549417273390188</v>
      </c>
      <c r="AS76" t="str">
        <f t="shared" si="58"/>
        <v>-0.0000166666666666667</v>
      </c>
      <c r="AT76" t="str">
        <f t="shared" si="59"/>
        <v>8.12192145828322E-07i</v>
      </c>
      <c r="AU76">
        <f t="shared" si="84"/>
        <v>8.1219214582832201E-7</v>
      </c>
      <c r="AV76">
        <f t="shared" si="85"/>
        <v>1.5707963267948966</v>
      </c>
      <c r="AW76" t="str">
        <f t="shared" si="60"/>
        <v>1+0.00081148955746688i</v>
      </c>
      <c r="AX76">
        <f t="shared" si="86"/>
        <v>1.0000003292575967</v>
      </c>
      <c r="AY76">
        <f t="shared" si="87"/>
        <v>8.1148937934085342E-4</v>
      </c>
      <c r="AZ76" t="str">
        <f t="shared" si="61"/>
        <v>1+0.0275906449538739i</v>
      </c>
      <c r="BA76">
        <f t="shared" si="88"/>
        <v>1.0003805494355489</v>
      </c>
      <c r="BB76">
        <f t="shared" si="89"/>
        <v>2.7583647081732283E-2</v>
      </c>
      <c r="BC76" s="41" t="str">
        <f t="shared" si="90"/>
        <v>-0.549523859583418+20.5210416469199i</v>
      </c>
      <c r="BD76">
        <f t="shared" si="91"/>
        <v>26.247101206047549</v>
      </c>
      <c r="BE76" s="43">
        <f t="shared" si="92"/>
        <v>91.533931644805691</v>
      </c>
      <c r="BF76" s="41" t="str">
        <f t="shared" si="93"/>
        <v>12.4467659608467+401.895241427469i</v>
      </c>
      <c r="BG76" s="20">
        <f t="shared" si="94"/>
        <v>52.086420827306398</v>
      </c>
      <c r="BH76" s="43">
        <f t="shared" si="95"/>
        <v>88.226106680708995</v>
      </c>
      <c r="BI76" s="41" t="str">
        <f t="shared" si="101"/>
        <v>29.0030914025357+1482.18353239735i</v>
      </c>
      <c r="BJ76" s="20">
        <f t="shared" si="97"/>
        <v>63.419702268143183</v>
      </c>
      <c r="BK76" s="43">
        <f t="shared" si="102"/>
        <v>88.878989917466669</v>
      </c>
      <c r="BL76">
        <f t="shared" si="99"/>
        <v>52.086420827306398</v>
      </c>
      <c r="BM76" s="43">
        <f t="shared" si="100"/>
        <v>88.226106680708995</v>
      </c>
    </row>
    <row r="77" spans="1:65" x14ac:dyDescent="0.25">
      <c r="A77" t="s">
        <v>462</v>
      </c>
      <c r="B77">
        <f>2*Fsw/(DC_VIN_var_DCM)</f>
        <v>2065591.1179772893</v>
      </c>
      <c r="C77" t="s">
        <v>385</v>
      </c>
      <c r="N77" s="9">
        <v>59</v>
      </c>
      <c r="O77" s="34">
        <f t="shared" si="62"/>
        <v>38.904514499428053</v>
      </c>
      <c r="P77" s="33" t="str">
        <f t="shared" si="50"/>
        <v>19.6196196196196</v>
      </c>
      <c r="Q77" s="4" t="str">
        <f t="shared" si="63"/>
        <v>1+0.0591694615512368i</v>
      </c>
      <c r="R77" s="4">
        <f t="shared" si="64"/>
        <v>1.0017489831191559</v>
      </c>
      <c r="S77" s="4">
        <f t="shared" si="65"/>
        <v>5.9100554981342042E-2</v>
      </c>
      <c r="T77" s="4" t="str">
        <f t="shared" si="51"/>
        <v>1+0.000919110469810464i</v>
      </c>
      <c r="U77" s="4">
        <f t="shared" si="66"/>
        <v>1.0000004223819388</v>
      </c>
      <c r="V77" s="4">
        <f t="shared" si="67"/>
        <v>9.1911021100009912E-4</v>
      </c>
      <c r="W77" t="str">
        <f t="shared" si="52"/>
        <v>1-0.000534721849125105i</v>
      </c>
      <c r="X77" s="4">
        <f t="shared" si="68"/>
        <v>1.0000001429637178</v>
      </c>
      <c r="Y77" s="4">
        <f t="shared" si="69"/>
        <v>-5.347217981612278E-4</v>
      </c>
      <c r="Z77" t="str">
        <f t="shared" si="53"/>
        <v>0.999999998486439+0.000357936258189866i</v>
      </c>
      <c r="AA77" s="4">
        <f t="shared" si="70"/>
        <v>1.0000000625456196</v>
      </c>
      <c r="AB77" s="4">
        <f t="shared" si="71"/>
        <v>3.5793624344555614E-4</v>
      </c>
      <c r="AC77" s="47" t="str">
        <f t="shared" si="72"/>
        <v>19.5512109036945-1.15631564008378i</v>
      </c>
      <c r="AD77" s="20">
        <f t="shared" si="73"/>
        <v>25.838637824869259</v>
      </c>
      <c r="AE77" s="43">
        <f t="shared" si="74"/>
        <v>-3.3846967696465722</v>
      </c>
      <c r="AF77" t="str">
        <f t="shared" si="54"/>
        <v>72.2956529813786</v>
      </c>
      <c r="AG77" t="str">
        <f t="shared" si="55"/>
        <v>1+0.0482532996650494i</v>
      </c>
      <c r="AH77">
        <f t="shared" si="75"/>
        <v>1.0011635135823544</v>
      </c>
      <c r="AI77">
        <f t="shared" si="76"/>
        <v>4.8215901210312148E-2</v>
      </c>
      <c r="AJ77" t="str">
        <f t="shared" si="56"/>
        <v>1+0.000919110469810464i</v>
      </c>
      <c r="AK77">
        <f t="shared" si="77"/>
        <v>1.0000004223819388</v>
      </c>
      <c r="AL77">
        <f t="shared" si="78"/>
        <v>9.1911021100009912E-4</v>
      </c>
      <c r="AM77" t="str">
        <f t="shared" si="57"/>
        <v>1-0.000118341075229415i</v>
      </c>
      <c r="AN77">
        <f t="shared" si="79"/>
        <v>1.000000007002305</v>
      </c>
      <c r="AO77">
        <f t="shared" si="80"/>
        <v>-1.1834107467697479E-4</v>
      </c>
      <c r="AP77" s="41" t="str">
        <f t="shared" si="81"/>
        <v>72.130507035004-3.42264282468326i</v>
      </c>
      <c r="AQ77">
        <f t="shared" si="82"/>
        <v>37.172147147123752</v>
      </c>
      <c r="AR77" s="43">
        <f t="shared" si="83"/>
        <v>-2.7166869528949515</v>
      </c>
      <c r="AS77" t="str">
        <f t="shared" si="58"/>
        <v>-0.0000166666666666667</v>
      </c>
      <c r="AT77" t="str">
        <f t="shared" si="59"/>
        <v>8.31110531211589E-07i</v>
      </c>
      <c r="AU77">
        <f t="shared" si="84"/>
        <v>8.3111053121158899E-7</v>
      </c>
      <c r="AV77">
        <f t="shared" si="85"/>
        <v>1.5707963267948966</v>
      </c>
      <c r="AW77" t="str">
        <f t="shared" si="60"/>
        <v>1+0.000830391577464869i</v>
      </c>
      <c r="AX77">
        <f t="shared" si="86"/>
        <v>1.0000003447750265</v>
      </c>
      <c r="AY77">
        <f t="shared" si="87"/>
        <v>8.3039138659939625E-4</v>
      </c>
      <c r="AZ77" t="str">
        <f t="shared" si="61"/>
        <v>1+0.0282333136338055i</v>
      </c>
      <c r="BA77">
        <f t="shared" si="88"/>
        <v>1.0003984806059758</v>
      </c>
      <c r="BB77">
        <f t="shared" si="89"/>
        <v>2.8225815440012292E-2</v>
      </c>
      <c r="BC77" s="41" t="str">
        <f t="shared" si="90"/>
        <v>-0.54952384252903+20.0539462479227i</v>
      </c>
      <c r="BD77">
        <f t="shared" si="91"/>
        <v>26.047256758789676</v>
      </c>
      <c r="BE77" s="43">
        <f t="shared" si="92"/>
        <v>91.569642176231739</v>
      </c>
      <c r="BF77" s="41" t="str">
        <f t="shared" si="93"/>
        <v>12.4448351499788+392.714355558205i</v>
      </c>
      <c r="BG77" s="20">
        <f t="shared" si="94"/>
        <v>51.885894583658931</v>
      </c>
      <c r="BH77" s="43">
        <f t="shared" si="95"/>
        <v>88.184945406585172</v>
      </c>
      <c r="BI77" s="41" t="str">
        <f t="shared" si="101"/>
        <v>29.0000618425938+1448.382134752i</v>
      </c>
      <c r="BJ77" s="20">
        <f t="shared" si="97"/>
        <v>63.219403905913396</v>
      </c>
      <c r="BK77" s="43">
        <f t="shared" si="102"/>
        <v>88.852955223336792</v>
      </c>
      <c r="BL77">
        <f t="shared" si="99"/>
        <v>51.885894583658931</v>
      </c>
      <c r="BM77" s="43">
        <f t="shared" si="100"/>
        <v>88.184945406585172</v>
      </c>
    </row>
    <row r="78" spans="1:65" x14ac:dyDescent="0.25">
      <c r="B78">
        <f>B77/(2*PI())</f>
        <v>328749.03683279996</v>
      </c>
      <c r="C78" t="s">
        <v>65</v>
      </c>
      <c r="N78" s="9">
        <v>60</v>
      </c>
      <c r="O78" s="34">
        <f t="shared" si="62"/>
        <v>39.810717055349755</v>
      </c>
      <c r="P78" s="33" t="str">
        <f t="shared" si="50"/>
        <v>19.6196196196196</v>
      </c>
      <c r="Q78" s="4" t="str">
        <f t="shared" si="63"/>
        <v>1+0.060547695362406i</v>
      </c>
      <c r="R78" s="4">
        <f t="shared" si="64"/>
        <v>1.0018313348132502</v>
      </c>
      <c r="S78" s="4">
        <f t="shared" si="65"/>
        <v>6.0473867930071153E-2</v>
      </c>
      <c r="T78" s="4" t="str">
        <f t="shared" si="51"/>
        <v>1+0.000940519302888917i</v>
      </c>
      <c r="U78" s="4">
        <f t="shared" si="66"/>
        <v>1.0000004422881819</v>
      </c>
      <c r="V78" s="4">
        <f t="shared" si="67"/>
        <v>9.4051902556862123E-4</v>
      </c>
      <c r="W78" t="str">
        <f t="shared" si="52"/>
        <v>1-0.000547177121029125i</v>
      </c>
      <c r="X78" s="4">
        <f t="shared" si="68"/>
        <v>1.0000001497013897</v>
      </c>
      <c r="Y78" s="4">
        <f t="shared" si="69"/>
        <v>-5.4717706642034712E-4</v>
      </c>
      <c r="Z78" t="str">
        <f t="shared" si="53"/>
        <v>0.999999998415107+0.000366273664688883i</v>
      </c>
      <c r="AA78" s="4">
        <f t="shared" si="70"/>
        <v>1.0000000654933034</v>
      </c>
      <c r="AB78" s="4">
        <f t="shared" si="71"/>
        <v>3.6627364889007033E-4</v>
      </c>
      <c r="AC78" s="47" t="str">
        <f t="shared" si="72"/>
        <v>19.5479986763293-1.18305519856855i</v>
      </c>
      <c r="AD78" s="20">
        <f t="shared" si="73"/>
        <v>25.837924011173659</v>
      </c>
      <c r="AE78" s="43">
        <f t="shared" si="74"/>
        <v>-3.4633465032882746</v>
      </c>
      <c r="AF78" t="str">
        <f t="shared" si="54"/>
        <v>72.2956529813786</v>
      </c>
      <c r="AG78" t="str">
        <f t="shared" si="55"/>
        <v>1+0.0493772634016682i</v>
      </c>
      <c r="AH78">
        <f t="shared" si="75"/>
        <v>1.0012183149248908</v>
      </c>
      <c r="AI78">
        <f t="shared" si="76"/>
        <v>4.9337192868560059E-2</v>
      </c>
      <c r="AJ78" t="str">
        <f t="shared" si="56"/>
        <v>1+0.000940519302888917i</v>
      </c>
      <c r="AK78">
        <f t="shared" si="77"/>
        <v>1.0000004422881819</v>
      </c>
      <c r="AL78">
        <f t="shared" si="78"/>
        <v>9.4051902556862123E-4</v>
      </c>
      <c r="AM78" t="str">
        <f t="shared" si="57"/>
        <v>1-0.00012109759298123i</v>
      </c>
      <c r="AN78">
        <f t="shared" si="79"/>
        <v>1.0000000073323134</v>
      </c>
      <c r="AO78">
        <f t="shared" si="80"/>
        <v>-1.2109759238927966E-4</v>
      </c>
      <c r="AP78" s="41" t="str">
        <f t="shared" si="81"/>
        <v>72.1227428762402-3.50198304466601i</v>
      </c>
      <c r="AQ78">
        <f t="shared" si="82"/>
        <v>37.171671890679121</v>
      </c>
      <c r="AR78" s="43">
        <f t="shared" si="83"/>
        <v>-2.7798635346276996</v>
      </c>
      <c r="AS78" t="str">
        <f t="shared" si="58"/>
        <v>-0.0000166666666666667</v>
      </c>
      <c r="AT78" t="str">
        <f t="shared" si="59"/>
        <v>8.50469582399555E-07i</v>
      </c>
      <c r="AU78">
        <f t="shared" si="84"/>
        <v>8.5046958239955501E-7</v>
      </c>
      <c r="AV78">
        <f t="shared" si="85"/>
        <v>1.5707963267948966</v>
      </c>
      <c r="AW78" t="str">
        <f t="shared" si="60"/>
        <v>1+0.000849733882068759i</v>
      </c>
      <c r="AX78">
        <f t="shared" si="86"/>
        <v>1.00000036102377</v>
      </c>
      <c r="AY78">
        <f t="shared" si="87"/>
        <v>8.497336775527243E-4</v>
      </c>
      <c r="AZ78" t="str">
        <f t="shared" si="61"/>
        <v>1+0.0288909519903378i</v>
      </c>
      <c r="BA78">
        <f t="shared" si="88"/>
        <v>1.0004172565019598</v>
      </c>
      <c r="BB78">
        <f t="shared" si="89"/>
        <v>2.8882917711908429E-2</v>
      </c>
      <c r="BC78" s="41" t="str">
        <f t="shared" si="90"/>
        <v>-0.549523824670891+19.5974837166702i</v>
      </c>
      <c r="BD78">
        <f t="shared" si="91"/>
        <v>25.847419636525029</v>
      </c>
      <c r="BE78" s="43">
        <f t="shared" si="92"/>
        <v>91.606183131482112</v>
      </c>
      <c r="BF78" s="41" t="str">
        <f t="shared" si="93"/>
        <v>12.4428139925912+383.741702770368i</v>
      </c>
      <c r="BG78" s="20">
        <f t="shared" si="94"/>
        <v>51.68534364769868</v>
      </c>
      <c r="BH78" s="43">
        <f t="shared" si="95"/>
        <v>88.142836628193848</v>
      </c>
      <c r="BI78" s="41" t="str">
        <f t="shared" si="101"/>
        <v>28.9968901827905+1415.34870223535i</v>
      </c>
      <c r="BJ78" s="20">
        <f t="shared" si="97"/>
        <v>63.019091527204168</v>
      </c>
      <c r="BK78" s="43">
        <f t="shared" si="102"/>
        <v>88.826319596854418</v>
      </c>
      <c r="BL78">
        <f t="shared" si="99"/>
        <v>51.68534364769868</v>
      </c>
      <c r="BM78" s="43">
        <f t="shared" si="100"/>
        <v>88.142836628193848</v>
      </c>
    </row>
    <row r="79" spans="1:65" x14ac:dyDescent="0.25">
      <c r="N79" s="9">
        <v>61</v>
      </c>
      <c r="O79" s="34">
        <f t="shared" si="62"/>
        <v>40.738027780411279</v>
      </c>
      <c r="P79" s="33" t="str">
        <f t="shared" si="50"/>
        <v>19.6196196196196</v>
      </c>
      <c r="Q79" s="4" t="str">
        <f t="shared" si="63"/>
        <v>1+0.0619580323631i</v>
      </c>
      <c r="R79" s="4">
        <f t="shared" si="64"/>
        <v>1.0019175603682704</v>
      </c>
      <c r="S79" s="4">
        <f t="shared" si="65"/>
        <v>6.187893301891359E-2</v>
      </c>
      <c r="T79" s="4" t="str">
        <f t="shared" si="51"/>
        <v>1+0.00096242681175101i</v>
      </c>
      <c r="U79" s="4">
        <f t="shared" si="66"/>
        <v>1.0000004631325767</v>
      </c>
      <c r="V79" s="4">
        <f t="shared" si="67"/>
        <v>9.6242651459696688E-4</v>
      </c>
      <c r="W79" t="str">
        <f t="shared" si="52"/>
        <v>1-0.000559922513485462i</v>
      </c>
      <c r="X79" s="4">
        <f t="shared" si="68"/>
        <v>1.0000001567565984</v>
      </c>
      <c r="Y79" s="4">
        <f t="shared" si="69"/>
        <v>-5.599224549711027E-4</v>
      </c>
      <c r="Z79" t="str">
        <f t="shared" si="53"/>
        <v>0.999999998340413+0.000374805274333125i</v>
      </c>
      <c r="AA79" s="4">
        <f t="shared" si="70"/>
        <v>1.0000000685799075</v>
      </c>
      <c r="AB79" s="4">
        <f t="shared" si="71"/>
        <v>3.7480525740439242E-4</v>
      </c>
      <c r="AC79" s="47" t="str">
        <f t="shared" si="72"/>
        <v>19.5446361931436-1.21040376151677i</v>
      </c>
      <c r="AD79" s="20">
        <f t="shared" si="73"/>
        <v>25.837176682274038</v>
      </c>
      <c r="AE79" s="43">
        <f t="shared" si="74"/>
        <v>-3.5438146782916093</v>
      </c>
      <c r="AF79" t="str">
        <f t="shared" si="54"/>
        <v>72.2956529813786</v>
      </c>
      <c r="AG79" t="str">
        <f t="shared" si="55"/>
        <v>1+0.050527407616928i</v>
      </c>
      <c r="AH79">
        <f t="shared" si="75"/>
        <v>1.001275695760407</v>
      </c>
      <c r="AI79">
        <f t="shared" si="76"/>
        <v>5.0484474221077678E-2</v>
      </c>
      <c r="AJ79" t="str">
        <f t="shared" si="56"/>
        <v>1+0.00096242681175101i</v>
      </c>
      <c r="AK79">
        <f t="shared" si="77"/>
        <v>1.0000004631325767</v>
      </c>
      <c r="AL79">
        <f t="shared" si="78"/>
        <v>9.6242651459696688E-4</v>
      </c>
      <c r="AM79" t="str">
        <f t="shared" si="57"/>
        <v>1-0.000123918318279759i</v>
      </c>
      <c r="AN79">
        <f t="shared" si="79"/>
        <v>1.0000000076778748</v>
      </c>
      <c r="AO79">
        <f t="shared" si="80"/>
        <v>-1.2391831764547279E-4</v>
      </c>
      <c r="AP79" s="41" t="str">
        <f t="shared" si="81"/>
        <v>72.1146146256193-3.58314400926041i</v>
      </c>
      <c r="AQ79">
        <f t="shared" si="82"/>
        <v>37.171174291865782</v>
      </c>
      <c r="AR79" s="43">
        <f t="shared" si="83"/>
        <v>-2.8445043230323126</v>
      </c>
      <c r="AS79" t="str">
        <f t="shared" si="58"/>
        <v>-0.0000166666666666667</v>
      </c>
      <c r="AT79" t="str">
        <f t="shared" si="59"/>
        <v>8.70279563817404E-07i</v>
      </c>
      <c r="AU79">
        <f t="shared" si="84"/>
        <v>8.7027956381740398E-7</v>
      </c>
      <c r="AV79">
        <f t="shared" si="85"/>
        <v>1.5707963267948966</v>
      </c>
      <c r="AW79" t="str">
        <f t="shared" si="60"/>
        <v>1+0.000869526726824483i</v>
      </c>
      <c r="AX79">
        <f t="shared" si="86"/>
        <v>1.0000003780382929</v>
      </c>
      <c r="AY79">
        <f t="shared" si="87"/>
        <v>8.6952650768160804E-4</v>
      </c>
      <c r="AZ79" t="str">
        <f t="shared" si="61"/>
        <v>1+0.0295639087120324i</v>
      </c>
      <c r="BA79">
        <f t="shared" si="88"/>
        <v>1.0004369169009775</v>
      </c>
      <c r="BB79">
        <f t="shared" si="89"/>
        <v>2.9555300030637222E-2</v>
      </c>
      <c r="BC79" s="41" t="str">
        <f t="shared" si="90"/>
        <v>-0.549523805971126+19.1514120306864i</v>
      </c>
      <c r="BD79">
        <f t="shared" si="91"/>
        <v>25.647590183893378</v>
      </c>
      <c r="BE79" s="43">
        <f t="shared" si="92"/>
        <v>91.643573754933456</v>
      </c>
      <c r="BF79" s="41" t="str">
        <f t="shared" si="93"/>
        <v>12.4406982931231+374.97252640655i</v>
      </c>
      <c r="BG79" s="20">
        <f t="shared" si="94"/>
        <v>51.484766866167419</v>
      </c>
      <c r="BH79" s="43">
        <f t="shared" si="95"/>
        <v>88.09975907664186</v>
      </c>
      <c r="BI79" s="41" t="str">
        <f t="shared" si="101"/>
        <v>28.9935697914204+1383.06572106271i</v>
      </c>
      <c r="BJ79" s="20">
        <f t="shared" si="97"/>
        <v>62.818764475759153</v>
      </c>
      <c r="BK79" s="43">
        <f t="shared" si="102"/>
        <v>88.79906943190116</v>
      </c>
      <c r="BL79">
        <f t="shared" si="99"/>
        <v>51.484766866167419</v>
      </c>
      <c r="BM79" s="43">
        <f t="shared" si="100"/>
        <v>88.09975907664186</v>
      </c>
    </row>
    <row r="80" spans="1:65" x14ac:dyDescent="0.25">
      <c r="N80" s="9">
        <v>62</v>
      </c>
      <c r="O80" s="34">
        <f t="shared" si="62"/>
        <v>41.686938347033561</v>
      </c>
      <c r="P80" s="33" t="str">
        <f t="shared" si="50"/>
        <v>19.6196196196196</v>
      </c>
      <c r="Q80" s="4" t="str">
        <f t="shared" si="63"/>
        <v>1+0.0634012203326646i</v>
      </c>
      <c r="R80" s="4">
        <f t="shared" si="64"/>
        <v>1.0020078416557781</v>
      </c>
      <c r="S80" s="4">
        <f t="shared" si="65"/>
        <v>6.3316473028323259E-2</v>
      </c>
      <c r="T80" s="4" t="str">
        <f t="shared" si="51"/>
        <v>1+0.000984844612047919i</v>
      </c>
      <c r="U80" s="4">
        <f t="shared" si="66"/>
        <v>1.0000004849593374</v>
      </c>
      <c r="V80" s="4">
        <f t="shared" si="67"/>
        <v>9.8484429364163349E-4</v>
      </c>
      <c r="W80" t="str">
        <f t="shared" si="52"/>
        <v>1-0.0005729647842699i</v>
      </c>
      <c r="X80" s="4">
        <f t="shared" si="68"/>
        <v>1.0000001641443086</v>
      </c>
      <c r="Y80" s="4">
        <f t="shared" si="69"/>
        <v>-5.7296472157063497E-4</v>
      </c>
      <c r="Z80" t="str">
        <f t="shared" si="53"/>
        <v>0.999999998262199+0.000383535610694953i</v>
      </c>
      <c r="AA80" s="4">
        <f t="shared" si="70"/>
        <v>1.0000000718119786</v>
      </c>
      <c r="AB80" s="4">
        <f t="shared" si="71"/>
        <v>3.8353559255548933E-4</v>
      </c>
      <c r="AC80" s="47" t="str">
        <f t="shared" si="72"/>
        <v>19.5411164813508-1.23837453316283i</v>
      </c>
      <c r="AD80" s="20">
        <f t="shared" si="73"/>
        <v>25.836394270736839</v>
      </c>
      <c r="AE80" s="43">
        <f t="shared" si="74"/>
        <v>-3.6261426877759924</v>
      </c>
      <c r="AF80" t="str">
        <f t="shared" si="54"/>
        <v>72.2956529813786</v>
      </c>
      <c r="AG80" t="str">
        <f t="shared" si="55"/>
        <v>1+0.0517043421325158i</v>
      </c>
      <c r="AH80">
        <f t="shared" si="75"/>
        <v>1.0013357773471177</v>
      </c>
      <c r="AI80">
        <f t="shared" si="76"/>
        <v>5.1658341483849401E-2</v>
      </c>
      <c r="AJ80" t="str">
        <f t="shared" si="56"/>
        <v>1+0.000984844612047919i</v>
      </c>
      <c r="AK80">
        <f t="shared" si="77"/>
        <v>1.0000004849593374</v>
      </c>
      <c r="AL80">
        <f t="shared" si="78"/>
        <v>9.8484429364163349E-4</v>
      </c>
      <c r="AM80" t="str">
        <f t="shared" si="57"/>
        <v>1-0.000126804746710894i</v>
      </c>
      <c r="AN80">
        <f t="shared" si="79"/>
        <v>1.0000000080397218</v>
      </c>
      <c r="AO80">
        <f t="shared" si="80"/>
        <v>-1.2680474603124408E-4</v>
      </c>
      <c r="AP80" s="41" t="str">
        <f t="shared" si="81"/>
        <v>72.1061052990853-3.66616618587852i</v>
      </c>
      <c r="AQ80">
        <f t="shared" si="82"/>
        <v>37.170653303087633</v>
      </c>
      <c r="AR80" s="43">
        <f t="shared" si="83"/>
        <v>-2.9106428989367576</v>
      </c>
      <c r="AS80" t="str">
        <f t="shared" si="58"/>
        <v>-0.0000166666666666667</v>
      </c>
      <c r="AT80" t="str">
        <f t="shared" si="59"/>
        <v>8.90550978979501E-07i</v>
      </c>
      <c r="AU80">
        <f t="shared" si="84"/>
        <v>8.90550978979501E-7</v>
      </c>
      <c r="AV80">
        <f t="shared" si="85"/>
        <v>1.5707963267948966</v>
      </c>
      <c r="AW80" t="str">
        <f t="shared" si="60"/>
        <v>1+0.000889780606160317i</v>
      </c>
      <c r="AX80">
        <f t="shared" si="86"/>
        <v>1.0000003958546853</v>
      </c>
      <c r="AY80">
        <f t="shared" si="87"/>
        <v>8.8978037134450089E-4</v>
      </c>
      <c r="AZ80" t="str">
        <f t="shared" si="61"/>
        <v>1+0.0302525406094507i</v>
      </c>
      <c r="BA80">
        <f t="shared" si="88"/>
        <v>1.0004575034519589</v>
      </c>
      <c r="BB80">
        <f t="shared" si="89"/>
        <v>3.0243316468950877E-2</v>
      </c>
      <c r="BC80" s="41" t="str">
        <f t="shared" si="90"/>
        <v>-0.549523786390071+18.7154946768584i</v>
      </c>
      <c r="BD80">
        <f t="shared" si="91"/>
        <v>25.447768761721012</v>
      </c>
      <c r="BE80" s="43">
        <f t="shared" si="92"/>
        <v>91.681833732177751</v>
      </c>
      <c r="BF80" s="41" t="str">
        <f t="shared" si="93"/>
        <v>12.4384836642446+366.402177749024i</v>
      </c>
      <c r="BG80" s="20">
        <f t="shared" si="94"/>
        <v>51.284163032457862</v>
      </c>
      <c r="BH80" s="43">
        <f t="shared" si="95"/>
        <v>88.055691044401769</v>
      </c>
      <c r="BI80" s="41" t="str">
        <f t="shared" si="101"/>
        <v>28.9900937304932+1351.51607541802i</v>
      </c>
      <c r="BJ80" s="20">
        <f t="shared" si="97"/>
        <v>62.618422064808634</v>
      </c>
      <c r="BK80" s="43">
        <f t="shared" si="102"/>
        <v>88.771190833241008</v>
      </c>
      <c r="BL80">
        <f t="shared" si="99"/>
        <v>51.284163032457862</v>
      </c>
      <c r="BM80" s="43">
        <f t="shared" si="100"/>
        <v>88.055691044401769</v>
      </c>
    </row>
    <row r="81" spans="14:65" x14ac:dyDescent="0.25">
      <c r="N81" s="9">
        <v>63</v>
      </c>
      <c r="O81" s="34">
        <f t="shared" si="62"/>
        <v>42.657951880159267</v>
      </c>
      <c r="P81" s="33" t="str">
        <f t="shared" si="50"/>
        <v>19.6196196196196</v>
      </c>
      <c r="Q81" s="4" t="str">
        <f t="shared" si="63"/>
        <v>1+0.0648780244684637i</v>
      </c>
      <c r="R81" s="4">
        <f t="shared" si="64"/>
        <v>1.0021023690516506</v>
      </c>
      <c r="S81" s="4">
        <f t="shared" si="65"/>
        <v>6.4787226381977037E-2</v>
      </c>
      <c r="T81" s="4" t="str">
        <f t="shared" si="51"/>
        <v>1+0.00100778458999409i</v>
      </c>
      <c r="U81" s="4">
        <f t="shared" si="66"/>
        <v>1.0000005078147609</v>
      </c>
      <c r="V81" s="4">
        <f t="shared" si="67"/>
        <v>1.0077842488156175E-3</v>
      </c>
      <c r="W81" t="str">
        <f t="shared" si="52"/>
        <v>1-0.000586310848567043i</v>
      </c>
      <c r="X81" s="4">
        <f t="shared" si="68"/>
        <v>1.0000001718801907</v>
      </c>
      <c r="Y81" s="4">
        <f t="shared" si="69"/>
        <v>-5.8631078138357074E-4</v>
      </c>
      <c r="Z81" t="str">
        <f t="shared" si="53"/>
        <v>0.999999998180299+0.000392469302714265i</v>
      </c>
      <c r="AA81" s="4">
        <f t="shared" si="70"/>
        <v>1.0000000751963731</v>
      </c>
      <c r="AB81" s="4">
        <f t="shared" si="71"/>
        <v>3.9246928327747954E-4</v>
      </c>
      <c r="AC81" s="47" t="str">
        <f t="shared" si="72"/>
        <v>19.5374322499255-1.26698095615722i</v>
      </c>
      <c r="AD81" s="20">
        <f t="shared" si="73"/>
        <v>25.83557513641702</v>
      </c>
      <c r="AE81" s="43">
        <f t="shared" si="74"/>
        <v>-3.7103728207056368</v>
      </c>
      <c r="AF81" t="str">
        <f t="shared" si="54"/>
        <v>72.2956529813786</v>
      </c>
      <c r="AG81" t="str">
        <f t="shared" si="55"/>
        <v>1+0.0529086909746899i</v>
      </c>
      <c r="AH81">
        <f t="shared" si="75"/>
        <v>1.0013986866281857</v>
      </c>
      <c r="AI81">
        <f t="shared" si="76"/>
        <v>5.2859404109112509E-2</v>
      </c>
      <c r="AJ81" t="str">
        <f t="shared" si="56"/>
        <v>1+0.00100778458999409i</v>
      </c>
      <c r="AK81">
        <f t="shared" si="77"/>
        <v>1.0000005078147609</v>
      </c>
      <c r="AL81">
        <f t="shared" si="78"/>
        <v>1.0077842488156175E-3</v>
      </c>
      <c r="AM81" t="str">
        <f t="shared" si="57"/>
        <v>1-0.000129758408697194i</v>
      </c>
      <c r="AN81">
        <f t="shared" si="79"/>
        <v>1.0000000084186222</v>
      </c>
      <c r="AO81">
        <f t="shared" si="80"/>
        <v>-1.29758407968936E-4</v>
      </c>
      <c r="AP81" s="41" t="str">
        <f t="shared" si="81"/>
        <v>72.0971971289366-3.7510908469246i</v>
      </c>
      <c r="AQ81">
        <f t="shared" si="82"/>
        <v>37.170107827892615</v>
      </c>
      <c r="AR81" s="43">
        <f t="shared" si="83"/>
        <v>-2.9783135880446872</v>
      </c>
      <c r="AS81" t="str">
        <f t="shared" si="58"/>
        <v>-0.0000166666666666667</v>
      </c>
      <c r="AT81" t="str">
        <f t="shared" si="59"/>
        <v>9.11294576058488E-07i</v>
      </c>
      <c r="AU81">
        <f t="shared" si="84"/>
        <v>9.1129457605848803E-7</v>
      </c>
      <c r="AV81">
        <f t="shared" si="85"/>
        <v>1.5707963267948966</v>
      </c>
      <c r="AW81" t="str">
        <f t="shared" si="60"/>
        <v>1+0.000910506258951173i</v>
      </c>
      <c r="AX81">
        <f t="shared" si="86"/>
        <v>1.000000414510738</v>
      </c>
      <c r="AY81">
        <f t="shared" si="87"/>
        <v>9.1050600734149845E-4</v>
      </c>
      <c r="AZ81" t="str">
        <f t="shared" si="61"/>
        <v>1+0.0309572128043398i</v>
      </c>
      <c r="BA81">
        <f t="shared" si="88"/>
        <v>1.0004790597631783</v>
      </c>
      <c r="BB81">
        <f t="shared" si="89"/>
        <v>3.0947329215309138E-2</v>
      </c>
      <c r="BC81" s="41" t="str">
        <f t="shared" si="90"/>
        <v>-0.549523765886191+18.2895005260354i</v>
      </c>
      <c r="BD81">
        <f t="shared" si="91"/>
        <v>25.247955747778935</v>
      </c>
      <c r="BE81" s="43">
        <f t="shared" si="92"/>
        <v>91.720983199797146</v>
      </c>
      <c r="BF81" s="41" t="str">
        <f t="shared" si="93"/>
        <v>12.4361655183889+358.026113558727i</v>
      </c>
      <c r="BG81" s="20">
        <f t="shared" si="94"/>
        <v>51.083530884195952</v>
      </c>
      <c r="BH81" s="43">
        <f t="shared" si="95"/>
        <v>88.010610379091517</v>
      </c>
      <c r="BI81" s="41" t="str">
        <f t="shared" si="101"/>
        <v>28.9864547419017+1320.68303838375i</v>
      </c>
      <c r="BJ81" s="20">
        <f t="shared" si="97"/>
        <v>62.418063575671567</v>
      </c>
      <c r="BK81" s="43">
        <f t="shared" si="102"/>
        <v>88.742669611752461</v>
      </c>
      <c r="BL81">
        <f t="shared" si="99"/>
        <v>51.083530884195952</v>
      </c>
      <c r="BM81" s="43">
        <f t="shared" si="100"/>
        <v>88.010610379091517</v>
      </c>
    </row>
    <row r="82" spans="14:65" x14ac:dyDescent="0.25">
      <c r="N82" s="9">
        <v>64</v>
      </c>
      <c r="O82" s="34">
        <f t="shared" si="62"/>
        <v>43.651583224016633</v>
      </c>
      <c r="P82" s="33" t="str">
        <f t="shared" si="50"/>
        <v>19.6196196196196</v>
      </c>
      <c r="Q82" s="4" t="str">
        <f t="shared" si="63"/>
        <v>1+0.0663892277915981i</v>
      </c>
      <c r="R82" s="4">
        <f t="shared" si="64"/>
        <v>1.0022013418304552</v>
      </c>
      <c r="S82" s="4">
        <f t="shared" si="65"/>
        <v>6.6291947427150472E-2</v>
      </c>
      <c r="T82" s="4" t="str">
        <f t="shared" si="51"/>
        <v>1+0.00103125890866949i</v>
      </c>
      <c r="U82" s="4">
        <f t="shared" si="66"/>
        <v>1.0000005317473271</v>
      </c>
      <c r="V82" s="4">
        <f t="shared" si="67"/>
        <v>1.0312585430901809E-3</v>
      </c>
      <c r="W82" t="str">
        <f t="shared" si="52"/>
        <v>1-0.000599967782636836i</v>
      </c>
      <c r="X82" s="4">
        <f t="shared" si="68"/>
        <v>1.0000001799806539</v>
      </c>
      <c r="Y82" s="4">
        <f t="shared" si="69"/>
        <v>-5.9996771064844913E-4</v>
      </c>
      <c r="Z82" t="str">
        <f t="shared" si="53"/>
        <v>0.999999998094539+0.000401611087152821i</v>
      </c>
      <c r="AA82" s="4">
        <f t="shared" si="70"/>
        <v>1.0000000787402685</v>
      </c>
      <c r="AB82" s="4">
        <f t="shared" si="71"/>
        <v>4.0161106632593033E-4</v>
      </c>
      <c r="AC82" s="47" t="str">
        <f t="shared" si="72"/>
        <v>19.5335758755927-1.29623671229909i</v>
      </c>
      <c r="AD82" s="20">
        <f t="shared" si="73"/>
        <v>25.834717563142043</v>
      </c>
      <c r="AE82" s="43">
        <f t="shared" si="74"/>
        <v>-3.7965482779434852</v>
      </c>
      <c r="AF82" t="str">
        <f t="shared" si="54"/>
        <v>72.2956529813786</v>
      </c>
      <c r="AG82" t="str">
        <f t="shared" si="55"/>
        <v>1+0.0541410927051481i</v>
      </c>
      <c r="AH82">
        <f t="shared" si="75"/>
        <v>1.0014645564967877</v>
      </c>
      <c r="AI82">
        <f t="shared" si="76"/>
        <v>5.4088285047549263E-2</v>
      </c>
      <c r="AJ82" t="str">
        <f t="shared" si="56"/>
        <v>1+0.00103125890866949i</v>
      </c>
      <c r="AK82">
        <f t="shared" si="77"/>
        <v>1.0000005317473271</v>
      </c>
      <c r="AL82">
        <f t="shared" si="78"/>
        <v>1.0312585430901809E-3</v>
      </c>
      <c r="AM82" t="str">
        <f t="shared" si="57"/>
        <v>1-0.00013278087030934i</v>
      </c>
      <c r="AN82">
        <f t="shared" si="79"/>
        <v>1.0000000088153798</v>
      </c>
      <c r="AO82">
        <f t="shared" si="80"/>
        <v>-1.3278086952899746E-4</v>
      </c>
      <c r="AP82" s="41" t="str">
        <f t="shared" si="81"/>
        <v>72.0878715284989-3.83796007886859i</v>
      </c>
      <c r="AQ82">
        <f t="shared" si="82"/>
        <v>37.169536718719705</v>
      </c>
      <c r="AR82" s="43">
        <f t="shared" si="83"/>
        <v>-3.0475514756433415</v>
      </c>
      <c r="AS82" t="str">
        <f t="shared" si="58"/>
        <v>-0.0000166666666666667</v>
      </c>
      <c r="AT82" t="str">
        <f t="shared" si="59"/>
        <v>9.32521353584112E-07i</v>
      </c>
      <c r="AU82">
        <f t="shared" si="84"/>
        <v>9.3252135358411204E-7</v>
      </c>
      <c r="AV82">
        <f t="shared" si="85"/>
        <v>1.5707963267948966</v>
      </c>
      <c r="AW82" t="str">
        <f t="shared" si="60"/>
        <v>1+0.0009317146742125i</v>
      </c>
      <c r="AX82">
        <f t="shared" si="86"/>
        <v>1.0000004340460229</v>
      </c>
      <c r="AY82">
        <f t="shared" si="87"/>
        <v>9.3171440460788272E-4</v>
      </c>
      <c r="AZ82" t="str">
        <f t="shared" si="61"/>
        <v>1+0.0316782989232249i</v>
      </c>
      <c r="BA82">
        <f t="shared" si="88"/>
        <v>1.0005016314942565</v>
      </c>
      <c r="BB82">
        <f t="shared" si="89"/>
        <v>3.166770875353115E-2</v>
      </c>
      <c r="BC82" s="41" t="str">
        <f t="shared" si="90"/>
        <v>-0.549523744415991+17.8732037104795i</v>
      </c>
      <c r="BD82">
        <f t="shared" si="91"/>
        <v>25.048151537574817</v>
      </c>
      <c r="BE82" s="43">
        <f t="shared" si="92"/>
        <v>91.76104275533126</v>
      </c>
      <c r="BF82" s="41" t="str">
        <f t="shared" si="93"/>
        <v>12.4337390589343+349.839893670368i</v>
      </c>
      <c r="BG82" s="20">
        <f t="shared" si="94"/>
        <v>50.882869100716846</v>
      </c>
      <c r="BH82" s="43">
        <f t="shared" si="95"/>
        <v>87.964494477387774</v>
      </c>
      <c r="BI82" s="41" t="str">
        <f t="shared" si="101"/>
        <v>28.9826452329867+1290.55026307719i</v>
      </c>
      <c r="BJ82" s="20">
        <f t="shared" si="97"/>
        <v>62.21768825629448</v>
      </c>
      <c r="BK82" s="43">
        <f t="shared" si="102"/>
        <v>88.713491279687915</v>
      </c>
      <c r="BL82">
        <f t="shared" si="99"/>
        <v>50.882869100716846</v>
      </c>
      <c r="BM82" s="43">
        <f t="shared" si="100"/>
        <v>87.964494477387774</v>
      </c>
    </row>
    <row r="83" spans="14:65" x14ac:dyDescent="0.25">
      <c r="N83" s="9">
        <v>65</v>
      </c>
      <c r="O83" s="34">
        <f t="shared" si="62"/>
        <v>44.668359215096324</v>
      </c>
      <c r="P83" s="33" t="str">
        <f t="shared" ref="P83:P146" si="103">COMPLEX(Adc,0)</f>
        <v>19.6196196196196</v>
      </c>
      <c r="Q83" s="4" t="str">
        <f t="shared" ref="Q83:Q146" si="104">IMSUM(COMPLEX(1,0),IMDIV(COMPLEX(0,2*PI()*O83),COMPLEX(wp_lf,0)))</f>
        <v>1+0.067935631562073i</v>
      </c>
      <c r="R83" s="4">
        <f t="shared" si="64"/>
        <v>1.0023049685777965</v>
      </c>
      <c r="S83" s="4">
        <f t="shared" si="65"/>
        <v>6.7831406715769871E-2</v>
      </c>
      <c r="T83" s="4" t="str">
        <f t="shared" ref="T83:T146" si="105">IMSUM(COMPLEX(1,0),IMDIV(COMPLEX(0,2*PI()*O83),COMPLEX(wz_esr,0)))</f>
        <v>1+0.00105528001446858i</v>
      </c>
      <c r="U83" s="4">
        <f t="shared" si="66"/>
        <v>1.0000005568077994</v>
      </c>
      <c r="V83" s="4">
        <f t="shared" si="67"/>
        <v>1.0552796227433043E-3</v>
      </c>
      <c r="W83" t="str">
        <f t="shared" ref="W83:W146" si="106">IMSUB(COMPLEX(1,0),IMDIV(COMPLEX(0,2*PI()*O83),COMPLEX(wz_rhp,0)))</f>
        <v>1-0.000613942827566497i</v>
      </c>
      <c r="X83" s="4">
        <f t="shared" si="68"/>
        <v>1.00000018846288</v>
      </c>
      <c r="Y83" s="4">
        <f t="shared" si="69"/>
        <v>-6.1394275042955153E-4</v>
      </c>
      <c r="Z83" t="str">
        <f t="shared" ref="Z83:Z146" si="107">IMSUM(COMPLEX(1,0),IMDIV(COMPLEX(0,2*PI()*O83),COMPLEX(Q*(wsl/2),0)),IMDIV(IMPOWER(COMPLEX(0,2*PI()*O83),2),IMPOWER(COMPLEX(wsl/2,0),2)))</f>
        <v>0.999999998004738+0.000410965811105737i</v>
      </c>
      <c r="AA83" s="4">
        <f t="shared" si="70"/>
        <v>1.0000000824511834</v>
      </c>
      <c r="AB83" s="4">
        <f t="shared" si="71"/>
        <v>4.1096578878932136E-4</v>
      </c>
      <c r="AC83" s="47" t="str">
        <f t="shared" si="72"/>
        <v>19.5295393882497-1.32615572295608i</v>
      </c>
      <c r="AD83" s="20">
        <f t="shared" si="73"/>
        <v>25.833819755250055</v>
      </c>
      <c r="AE83" s="43">
        <f t="shared" si="74"/>
        <v>-3.884713188343782</v>
      </c>
      <c r="AF83" t="str">
        <f t="shared" ref="AF83:AF146" si="108">COMPLEX($B$72,0)</f>
        <v>72.2956529813786</v>
      </c>
      <c r="AG83" t="str">
        <f t="shared" ref="AG83:AG146" si="109">IMSUM(COMPLEX(1,0),IMDIV(COMPLEX(0,2*PI()*O83),COMPLEX(wp_lf_DCM,0)))</f>
        <v>1+0.0554022007596007i</v>
      </c>
      <c r="AH83">
        <f t="shared" si="75"/>
        <v>1.0015335260733946</v>
      </c>
      <c r="AI83">
        <f t="shared" si="76"/>
        <v>5.5345621013342075E-2</v>
      </c>
      <c r="AJ83" t="str">
        <f t="shared" ref="AJ83:AJ146" si="110">IMSUM(COMPLEX(1,0),IMDIV(COMPLEX(0,2*PI()*O83),COMPLEX(wz1_dcm,0)))</f>
        <v>1+0.00105528001446858i</v>
      </c>
      <c r="AK83">
        <f t="shared" si="77"/>
        <v>1.0000005568077994</v>
      </c>
      <c r="AL83">
        <f t="shared" si="78"/>
        <v>1.0552796227433043E-3</v>
      </c>
      <c r="AM83" t="str">
        <f t="shared" ref="AM83:AM146" si="111">IMSUB(COMPLEX(1,0),IMDIV(COMPLEX(0,2*PI()*O83),COMPLEX(wz2_dcm,0)))</f>
        <v>1-0.000135873734096488i</v>
      </c>
      <c r="AN83">
        <f t="shared" si="79"/>
        <v>1.0000000092308357</v>
      </c>
      <c r="AO83">
        <f t="shared" si="80"/>
        <v>-1.3587373326033592E-4</v>
      </c>
      <c r="AP83" s="41" t="str">
        <f t="shared" si="81"/>
        <v>72.0781090552856-3.92681679085864i</v>
      </c>
      <c r="AQ83">
        <f t="shared" si="82"/>
        <v>37.168938774544372</v>
      </c>
      <c r="AR83" s="43">
        <f t="shared" si="83"/>
        <v>-3.1183924214682142</v>
      </c>
      <c r="AS83" t="str">
        <f t="shared" ref="AS83:AS146" si="112">COMPLEX(Adc_ea,0)</f>
        <v>-0.0000166666666666667</v>
      </c>
      <c r="AT83" t="str">
        <f t="shared" ref="AT83:AT146" si="113">COMPLEX(0,2*PI()*O83*wp0_ea)</f>
        <v>9.54242566274785E-07i</v>
      </c>
      <c r="AU83">
        <f t="shared" si="84"/>
        <v>9.5424256627478505E-7</v>
      </c>
      <c r="AV83">
        <f t="shared" si="85"/>
        <v>1.5707963267948966</v>
      </c>
      <c r="AW83" t="str">
        <f t="shared" ref="AW83:AW146" si="114">IMSUM(COMPLEX(1,0),IMDIV(COMPLEX(0,2*PI()*O83),COMPLEX(wp1_ea,0)))</f>
        <v>1+0.000953417096926797i</v>
      </c>
      <c r="AX83">
        <f t="shared" si="86"/>
        <v>1.0000004545019769</v>
      </c>
      <c r="AY83">
        <f t="shared" si="87"/>
        <v>9.534168080402519E-4</v>
      </c>
      <c r="AZ83" t="str">
        <f t="shared" ref="AZ83:AZ146" si="115">IMSUM(COMPLEX(1,0),IMDIV(COMPLEX(0,2*PI()*O83),COMPLEX(wz_ea,0)))</f>
        <v>1+0.032416181295511i</v>
      </c>
      <c r="BA83">
        <f t="shared" si="88"/>
        <v>1.0005252664524686</v>
      </c>
      <c r="BB83">
        <f t="shared" si="89"/>
        <v>3.2404834045964538E-2</v>
      </c>
      <c r="BC83" s="41" t="str">
        <f t="shared" si="90"/>
        <v>-0.549523721933938+17.466383504109i</v>
      </c>
      <c r="BD83">
        <f t="shared" si="91"/>
        <v>24.848356545183204</v>
      </c>
      <c r="BE83" s="43">
        <f t="shared" si="92"/>
        <v>91.802033467438065</v>
      </c>
      <c r="BF83" s="41" t="str">
        <f t="shared" si="93"/>
        <v>12.4311992710334+341.839178642514i</v>
      </c>
      <c r="BG83" s="20">
        <f t="shared" si="94"/>
        <v>50.682176300433248</v>
      </c>
      <c r="BH83" s="43">
        <f t="shared" si="95"/>
        <v>87.917320279094298</v>
      </c>
      <c r="BI83" s="41" t="str">
        <f t="shared" si="101"/>
        <v>28.9786572614908+1261.10177398888i</v>
      </c>
      <c r="BJ83" s="20">
        <f t="shared" si="97"/>
        <v>62.017295319727602</v>
      </c>
      <c r="BK83" s="43">
        <f t="shared" si="102"/>
        <v>88.683641045969864</v>
      </c>
      <c r="BL83">
        <f t="shared" si="99"/>
        <v>50.682176300433248</v>
      </c>
      <c r="BM83" s="43">
        <f t="shared" si="100"/>
        <v>87.917320279094298</v>
      </c>
    </row>
    <row r="84" spans="14:65" x14ac:dyDescent="0.25">
      <c r="N84" s="9">
        <v>66</v>
      </c>
      <c r="O84" s="34">
        <f t="shared" ref="O84:O118" si="116">10^(1+(N84/100))</f>
        <v>45.70881896148753</v>
      </c>
      <c r="P84" s="33" t="str">
        <f t="shared" si="103"/>
        <v>19.6196196196196</v>
      </c>
      <c r="Q84" s="4" t="str">
        <f t="shared" si="104"/>
        <v>1+0.0695180557036365i</v>
      </c>
      <c r="R84" s="4">
        <f t="shared" ref="R84:R147" si="117">IMABS(Q84)</f>
        <v>1.0024134676214271</v>
      </c>
      <c r="S84" s="4">
        <f t="shared" ref="S84:S147" si="118">IMARGUMENT(Q84)</f>
        <v>6.9406391285758734E-2</v>
      </c>
      <c r="T84" s="4" t="str">
        <f t="shared" si="105"/>
        <v>1+0.00107986064369963i</v>
      </c>
      <c r="U84" s="4">
        <f t="shared" ref="U84:U147" si="119">IMABS(T84)</f>
        <v>1.000000583049335</v>
      </c>
      <c r="V84" s="4">
        <f t="shared" ref="V84:V147" si="120">IMARGUMENT(T84)</f>
        <v>1.0798602239584479E-3</v>
      </c>
      <c r="W84" t="str">
        <f t="shared" si="106"/>
        <v>1-0.000628243393109828i</v>
      </c>
      <c r="X84" s="4">
        <f t="shared" ref="X84:X147" si="121">IMABS(W84)</f>
        <v>1.0000001973448611</v>
      </c>
      <c r="Y84" s="4">
        <f t="shared" ref="Y84:Y147" si="122">IMARGUMENT(W84)</f>
        <v>-6.2824331045610267E-4</v>
      </c>
      <c r="Z84" t="str">
        <f t="shared" si="107"/>
        <v>0.999999997910704+0.000420538434571477i</v>
      </c>
      <c r="AA84" s="4">
        <f t="shared" ref="AA84:AA147" si="123">IMABS(Z84)</f>
        <v>1.0000000863369878</v>
      </c>
      <c r="AB84" s="4">
        <f t="shared" ref="AB84:AB147" si="124">IMARGUMENT(Z84)</f>
        <v>4.2053841065900705E-4</v>
      </c>
      <c r="AC84" s="47" t="str">
        <f t="shared" ref="AC84:AC147" si="125">(IMDIV(IMPRODUCT(P84,T84,W84),IMPRODUCT(Q84,Z84)))</f>
        <v>19.5253144558039-1.35675214914236i</v>
      </c>
      <c r="AD84" s="20">
        <f t="shared" ref="AD84:AD147" si="126">20*LOG(IMABS(AC84))</f>
        <v>25.832879833976882</v>
      </c>
      <c r="AE84" s="43">
        <f t="shared" ref="AE84:AE147" si="127">(180/PI())*IMARGUMENT(AC84)</f>
        <v>-3.9749126248610454</v>
      </c>
      <c r="AF84" t="str">
        <f t="shared" si="108"/>
        <v>72.2956529813786</v>
      </c>
      <c r="AG84" t="str">
        <f t="shared" si="109"/>
        <v>1+0.0566926837942309i</v>
      </c>
      <c r="AH84">
        <f t="shared" ref="AH84:AH147" si="128">IMABS(AG84)</f>
        <v>1.0016057409958234</v>
      </c>
      <c r="AI84">
        <f t="shared" ref="AI84:AI147" si="129">IMARGUMENT(AG84)</f>
        <v>5.6632062751936683E-2</v>
      </c>
      <c r="AJ84" t="str">
        <f t="shared" si="110"/>
        <v>1+0.00107986064369963i</v>
      </c>
      <c r="AK84">
        <f t="shared" ref="AK84:AK147" si="130">IMABS(AJ84)</f>
        <v>1.000000583049335</v>
      </c>
      <c r="AL84">
        <f t="shared" ref="AL84:AL147" si="131">IMARGUMENT(AJ84)</f>
        <v>1.0798602239584479E-3</v>
      </c>
      <c r="AM84" t="str">
        <f t="shared" si="111"/>
        <v>1-0.000139038639935954i</v>
      </c>
      <c r="AN84">
        <f t="shared" ref="AN84:AN147" si="132">IMABS(AM84)</f>
        <v>1.0000000096658717</v>
      </c>
      <c r="AO84">
        <f t="shared" ref="AO84:AO147" si="133">IMARGUMENT(AM84)</f>
        <v>-1.3903863904000089E-4</v>
      </c>
      <c r="AP84" s="41" t="str">
        <f t="shared" ref="AP84:AP147" si="134">(IMDIV(IMPRODUCT(AF84,AJ84,AM84),IMPRODUCT(AG84)))</f>
        <v>72.067889372589-4.01770472281646i</v>
      </c>
      <c r="AQ84">
        <f t="shared" ref="AQ84:AQ147" si="135">20*LOG(IMABS(AP84))</f>
        <v>37.16831273841828</v>
      </c>
      <c r="AR84" s="43">
        <f t="shared" ref="AR84:AR147" si="136">(180/PI())*IMARGUMENT(AP84)</f>
        <v>-3.1908730747153728</v>
      </c>
      <c r="AS84" t="str">
        <f t="shared" si="112"/>
        <v>-0.0000166666666666667</v>
      </c>
      <c r="AT84" t="str">
        <f t="shared" si="113"/>
        <v>9.76469731004991E-07i</v>
      </c>
      <c r="AU84">
        <f t="shared" ref="AU84:AU147" si="137">IMABS(AT84)</f>
        <v>9.7646973100499102E-7</v>
      </c>
      <c r="AV84">
        <f t="shared" ref="AV84:AV147" si="138">IMARGUMENT(AT84)</f>
        <v>1.5707963267948966</v>
      </c>
      <c r="AW84" t="str">
        <f t="shared" si="114"/>
        <v>1+0.000975625034005852i</v>
      </c>
      <c r="AX84">
        <f t="shared" ref="AX84:AX147" si="139">IMABS(AW84)</f>
        <v>1.0000004759219903</v>
      </c>
      <c r="AY84">
        <f t="shared" ref="AY84:AY147" si="140">IMARGUMENT(AW84)</f>
        <v>9.7562472445834989E-4</v>
      </c>
      <c r="AZ84" t="str">
        <f t="shared" si="115"/>
        <v>1+0.0331712511561989i</v>
      </c>
      <c r="BA84">
        <f t="shared" ref="BA84:BA147" si="141">IMABS(AZ84)</f>
        <v>1.0005500146935522</v>
      </c>
      <c r="BB84">
        <f t="shared" ref="BB84:BB147" si="142">IMARGUMENT(AZ84)</f>
        <v>3.3159092720206243E-2</v>
      </c>
      <c r="BC84" s="41" t="str">
        <f t="shared" ref="BC84:BC147" si="143">IMPRODUCT(AS84,IMDIV(AZ84,IMPRODUCT(AT84,AW84)))</f>
        <v>-0.549523698392338+17.0688242054654i</v>
      </c>
      <c r="BD84">
        <f t="shared" ref="BD84:BD147" si="144">20*LOG(IMABS(BC84))</f>
        <v>24.648571204112905</v>
      </c>
      <c r="BE84" s="43">
        <f t="shared" ref="BE84:BE147" si="145">(180/PI())*IMARGUMENT(BC84)</f>
        <v>91.843976886250701</v>
      </c>
      <c r="BF84" s="41" t="str">
        <f t="shared" ref="BF84:BF147" si="146">IMPRODUCT(AC84,BC84)</f>
        <v>12.4285409120716+334.019727461348i</v>
      </c>
      <c r="BG84" s="20">
        <f t="shared" ref="BG84:BG147" si="147">20*LOG(IMABS(BF84))</f>
        <v>50.481451038089787</v>
      </c>
      <c r="BH84" s="43">
        <f t="shared" ref="BH84:BH147" si="148">(180/PI())*IMARGUMENT(BF84)</f>
        <v>87.869064261389667</v>
      </c>
      <c r="BI84" s="41" t="str">
        <f t="shared" si="101"/>
        <v>28.9744825198673+1232.32195851798i</v>
      </c>
      <c r="BJ84" s="20">
        <f t="shared" ref="BJ84:BJ147" si="149">20*LOG(IMABS(BI84))</f>
        <v>61.816883942531192</v>
      </c>
      <c r="BK84" s="43">
        <f t="shared" si="102"/>
        <v>88.653103811535331</v>
      </c>
      <c r="BL84">
        <f t="shared" ref="BL84:BL147" si="150">IF($B$31=0,BJ84,BG84)</f>
        <v>50.481451038089787</v>
      </c>
      <c r="BM84" s="43">
        <f t="shared" ref="BM84:BM147" si="151">IF($B$31=0,BK84,BH84)</f>
        <v>87.869064261389667</v>
      </c>
    </row>
    <row r="85" spans="14:65" x14ac:dyDescent="0.25">
      <c r="N85" s="9">
        <v>67</v>
      </c>
      <c r="O85" s="34">
        <f t="shared" si="116"/>
        <v>46.773514128719818</v>
      </c>
      <c r="P85" s="33" t="str">
        <f t="shared" si="103"/>
        <v>19.6196196196196</v>
      </c>
      <c r="Q85" s="4" t="str">
        <f t="shared" si="104"/>
        <v>1+0.0711373392385143i</v>
      </c>
      <c r="R85" s="4">
        <f t="shared" si="117"/>
        <v>1.0025270674819386</v>
      </c>
      <c r="S85" s="4">
        <f t="shared" si="118"/>
        <v>7.1017704942258994E-2</v>
      </c>
      <c r="T85" s="4" t="str">
        <f t="shared" si="105"/>
        <v>1+0.00110501382933762i</v>
      </c>
      <c r="U85" s="4">
        <f t="shared" si="119"/>
        <v>1.0000006105275951</v>
      </c>
      <c r="V85" s="4">
        <f t="shared" si="120"/>
        <v>1.1050133795768549E-3</v>
      </c>
      <c r="W85" t="str">
        <f t="shared" si="106"/>
        <v>1-0.00064287706161597i</v>
      </c>
      <c r="X85" s="4">
        <f t="shared" si="121"/>
        <v>1.0000002066454368</v>
      </c>
      <c r="Y85" s="4">
        <f t="shared" si="122"/>
        <v>-6.4287697305090864E-4</v>
      </c>
      <c r="Z85" t="str">
        <f t="shared" si="107"/>
        <v>0.999999997812238+0.00043033403308171i</v>
      </c>
      <c r="AA85" s="4">
        <f t="shared" si="123"/>
        <v>1.0000000904059239</v>
      </c>
      <c r="AB85" s="4">
        <f t="shared" si="124"/>
        <v>4.3033400745903718E-4</v>
      </c>
      <c r="AC85" s="47" t="str">
        <f t="shared" si="125"/>
        <v>19.5208923684062-1.38804039122379i</v>
      </c>
      <c r="AD85" s="20">
        <f t="shared" si="126"/>
        <v>25.831895833684811</v>
      </c>
      <c r="AE85" s="43">
        <f t="shared" si="127"/>
        <v>-4.0671926206518805</v>
      </c>
      <c r="AF85" t="str">
        <f t="shared" si="108"/>
        <v>72.2956529813786</v>
      </c>
      <c r="AG85" t="str">
        <f t="shared" si="109"/>
        <v>1+0.0580132260402251i</v>
      </c>
      <c r="AH85">
        <f t="shared" si="128"/>
        <v>1.0016813537226268</v>
      </c>
      <c r="AI85">
        <f t="shared" si="129"/>
        <v>5.7948275310334724E-2</v>
      </c>
      <c r="AJ85" t="str">
        <f t="shared" si="110"/>
        <v>1+0.00110501382933762i</v>
      </c>
      <c r="AK85">
        <f t="shared" si="130"/>
        <v>1.0000006105275951</v>
      </c>
      <c r="AL85">
        <f t="shared" si="131"/>
        <v>1.1050133795768549E-3</v>
      </c>
      <c r="AM85" t="str">
        <f t="shared" si="111"/>
        <v>1-0.000142277265902709i</v>
      </c>
      <c r="AN85">
        <f t="shared" si="132"/>
        <v>1.0000000101214102</v>
      </c>
      <c r="AO85">
        <f t="shared" si="133"/>
        <v>-1.4227726494267797E-4</v>
      </c>
      <c r="AP85" s="41" t="str">
        <f t="shared" si="134"/>
        <v>72.0571912094439-4.11066845295462i</v>
      </c>
      <c r="AQ85">
        <f t="shared" si="135"/>
        <v>37.16765729489871</v>
      </c>
      <c r="AR85" s="43">
        <f t="shared" si="136"/>
        <v>-3.2650308891909732</v>
      </c>
      <c r="AS85" t="str">
        <f t="shared" si="112"/>
        <v>-0.0000166666666666667</v>
      </c>
      <c r="AT85" t="str">
        <f t="shared" si="113"/>
        <v>9.99214632911679E-07i</v>
      </c>
      <c r="AU85">
        <f t="shared" si="137"/>
        <v>9.9921463291167896E-7</v>
      </c>
      <c r="AV85">
        <f t="shared" si="138"/>
        <v>1.5707963267948966</v>
      </c>
      <c r="AW85" t="str">
        <f t="shared" si="114"/>
        <v>1+0.00099835026039186i</v>
      </c>
      <c r="AX85">
        <f t="shared" si="139"/>
        <v>1.000000498351497</v>
      </c>
      <c r="AY85">
        <f t="shared" si="140"/>
        <v>9.9834992870574462E-4</v>
      </c>
      <c r="AZ85" t="str">
        <f t="shared" si="115"/>
        <v>1+0.0339439088533232i</v>
      </c>
      <c r="BA85">
        <f t="shared" si="141"/>
        <v>1.0005759286272295</v>
      </c>
      <c r="BB85">
        <f t="shared" si="142"/>
        <v>3.3930881259407498E-2</v>
      </c>
      <c r="BC85" s="41" t="str">
        <f t="shared" si="143"/>
        <v>-0.549523673741261+16.6803150233459i</v>
      </c>
      <c r="BD85">
        <f t="shared" si="144"/>
        <v>24.448795968215336</v>
      </c>
      <c r="BE85" s="43">
        <f t="shared" si="145"/>
        <v>91.886895053931553</v>
      </c>
      <c r="BF85" s="41" t="str">
        <f t="shared" si="146"/>
        <v>12.4257585017468+326.377395296931i</v>
      </c>
      <c r="BG85" s="20">
        <f t="shared" si="147"/>
        <v>50.280691801900154</v>
      </c>
      <c r="BH85" s="43">
        <f t="shared" si="148"/>
        <v>87.819702433279673</v>
      </c>
      <c r="BI85" s="41" t="str">
        <f t="shared" si="101"/>
        <v>28.9701123189229+1204.1955587008i</v>
      </c>
      <c r="BJ85" s="20">
        <f t="shared" si="149"/>
        <v>61.616453263114082</v>
      </c>
      <c r="BK85" s="43">
        <f t="shared" si="102"/>
        <v>88.6218641647406</v>
      </c>
      <c r="BL85">
        <f t="shared" si="150"/>
        <v>50.280691801900154</v>
      </c>
      <c r="BM85" s="43">
        <f t="shared" si="151"/>
        <v>87.819702433279673</v>
      </c>
    </row>
    <row r="86" spans="14:65" x14ac:dyDescent="0.25">
      <c r="N86" s="9">
        <v>68</v>
      </c>
      <c r="O86" s="34">
        <f t="shared" si="116"/>
        <v>47.863009232263877</v>
      </c>
      <c r="P86" s="33" t="str">
        <f t="shared" si="103"/>
        <v>19.6196196196196</v>
      </c>
      <c r="Q86" s="4" t="str">
        <f t="shared" si="104"/>
        <v>1+0.0727943407322704i</v>
      </c>
      <c r="R86" s="4">
        <f t="shared" si="117"/>
        <v>1.002646007343891</v>
      </c>
      <c r="S86" s="4">
        <f t="shared" si="118"/>
        <v>7.2666168538269224E-2</v>
      </c>
      <c r="T86" s="4" t="str">
        <f t="shared" si="105"/>
        <v>1+0.00113075290793451i</v>
      </c>
      <c r="U86" s="4">
        <f t="shared" si="119"/>
        <v>1.0000006393008651</v>
      </c>
      <c r="V86" s="4">
        <f t="shared" si="120"/>
        <v>1.1307524260071842E-3</v>
      </c>
      <c r="W86" t="str">
        <f t="shared" si="106"/>
        <v>1-0.000657851592049665i</v>
      </c>
      <c r="X86" s="4">
        <f t="shared" si="121"/>
        <v>1.0000002163843351</v>
      </c>
      <c r="Y86" s="4">
        <f t="shared" si="122"/>
        <v>-6.5785149715049318E-4</v>
      </c>
      <c r="Z86" t="str">
        <f t="shared" si="107"/>
        <v>0.999999997709132+0.000440357800392428i</v>
      </c>
      <c r="AA86" s="4">
        <f t="shared" si="123"/>
        <v>1.0000000946666234</v>
      </c>
      <c r="AB86" s="4">
        <f t="shared" si="124"/>
        <v>4.4035777293723955E-4</v>
      </c>
      <c r="AC86" s="47" t="str">
        <f t="shared" si="125"/>
        <v>19.5162640220633-1.42003508821688i</v>
      </c>
      <c r="AD86" s="20">
        <f t="shared" si="126"/>
        <v>25.830865697927585</v>
      </c>
      <c r="AE86" s="43">
        <f t="shared" si="127"/>
        <v>-4.1616001851429365</v>
      </c>
      <c r="AF86" t="str">
        <f t="shared" si="108"/>
        <v>72.2956529813786</v>
      </c>
      <c r="AG86" t="str">
        <f t="shared" si="109"/>
        <v>1+0.0593645276665617i</v>
      </c>
      <c r="AH86">
        <f t="shared" si="128"/>
        <v>1.001760523850423</v>
      </c>
      <c r="AI86">
        <f t="shared" si="129"/>
        <v>5.9294938309718805E-2</v>
      </c>
      <c r="AJ86" t="str">
        <f t="shared" si="110"/>
        <v>1+0.00113075290793451i</v>
      </c>
      <c r="AK86">
        <f t="shared" si="130"/>
        <v>1.0000006393008651</v>
      </c>
      <c r="AL86">
        <f t="shared" si="131"/>
        <v>1.1307524260071842E-3</v>
      </c>
      <c r="AM86" t="str">
        <f t="shared" si="111"/>
        <v>1-0.000145591329159108i</v>
      </c>
      <c r="AN86">
        <f t="shared" si="132"/>
        <v>1.0000000105984175</v>
      </c>
      <c r="AO86">
        <f t="shared" si="133"/>
        <v>-1.4559132813041621E-4</v>
      </c>
      <c r="AP86" s="41" t="str">
        <f t="shared" si="134"/>
        <v>72.0459923189052-4.2057534046508i</v>
      </c>
      <c r="AQ86">
        <f t="shared" si="135"/>
        <v>37.166971067363036</v>
      </c>
      <c r="AR86" s="43">
        <f t="shared" si="136"/>
        <v>-3.340904138586648</v>
      </c>
      <c r="AS86" t="str">
        <f t="shared" si="112"/>
        <v>-0.0000166666666666667</v>
      </c>
      <c r="AT86" t="str">
        <f t="shared" si="113"/>
        <v>1.02248933164291E-06i</v>
      </c>
      <c r="AU86">
        <f t="shared" si="137"/>
        <v>1.02248933164291E-6</v>
      </c>
      <c r="AV86">
        <f t="shared" si="138"/>
        <v>1.5707963267948966</v>
      </c>
      <c r="AW86" t="str">
        <f t="shared" si="114"/>
        <v>1+0.00102160482530066i</v>
      </c>
      <c r="AX86">
        <f t="shared" si="139"/>
        <v>1.0000005218380734</v>
      </c>
      <c r="AY86">
        <f t="shared" si="140"/>
        <v>1.021604469892594E-3</v>
      </c>
      <c r="AZ86" t="str">
        <f t="shared" si="115"/>
        <v>1+0.0347345640602223i</v>
      </c>
      <c r="BA86">
        <f t="shared" si="141"/>
        <v>1.0006030631276588</v>
      </c>
      <c r="BB86">
        <f t="shared" si="142"/>
        <v>3.472060519619239E-2</v>
      </c>
      <c r="BC86" s="41" t="str">
        <f t="shared" si="143"/>
        <v>-0.549523647928415+16.3006499650394i</v>
      </c>
      <c r="BD86">
        <f t="shared" si="144"/>
        <v>24.249031312634898</v>
      </c>
      <c r="BE86" s="43">
        <f t="shared" si="145"/>
        <v>91.930810515425264</v>
      </c>
      <c r="BF86" s="41" t="str">
        <f t="shared" si="146"/>
        <v>12.4228463117589+318.908131310809i</v>
      </c>
      <c r="BG86" s="20">
        <f t="shared" si="147"/>
        <v>50.079897010562476</v>
      </c>
      <c r="BH86" s="43">
        <f t="shared" si="148"/>
        <v>87.769210330282334</v>
      </c>
      <c r="BI86" s="41" t="str">
        <f t="shared" si="101"/>
        <v>28.965537570778+1176.7076631276i</v>
      </c>
      <c r="BJ86" s="20">
        <f t="shared" si="149"/>
        <v>61.41600237999792</v>
      </c>
      <c r="BK86" s="43">
        <f t="shared" si="102"/>
        <v>88.589906376838627</v>
      </c>
      <c r="BL86">
        <f t="shared" si="150"/>
        <v>50.079897010562476</v>
      </c>
      <c r="BM86" s="43">
        <f t="shared" si="151"/>
        <v>87.769210330282334</v>
      </c>
    </row>
    <row r="87" spans="14:65" x14ac:dyDescent="0.25">
      <c r="N87" s="9">
        <v>69</v>
      </c>
      <c r="O87" s="34">
        <f t="shared" si="116"/>
        <v>48.977881936844632</v>
      </c>
      <c r="P87" s="33" t="str">
        <f t="shared" si="103"/>
        <v>19.6196196196196</v>
      </c>
      <c r="Q87" s="4" t="str">
        <f t="shared" si="104"/>
        <v>1+0.0744899387490299i</v>
      </c>
      <c r="R87" s="4">
        <f t="shared" si="117"/>
        <v>1.0027705375482638</v>
      </c>
      <c r="S87" s="4">
        <f t="shared" si="118"/>
        <v>7.4352620254202417E-2</v>
      </c>
      <c r="T87" s="4" t="str">
        <f t="shared" si="105"/>
        <v>1+0.00115709152669047i</v>
      </c>
      <c r="U87" s="4">
        <f t="shared" si="119"/>
        <v>1.0000006694301764</v>
      </c>
      <c r="V87" s="4">
        <f t="shared" si="120"/>
        <v>1.1570910102960553E-3</v>
      </c>
      <c r="W87" t="str">
        <f t="shared" si="106"/>
        <v>1-0.000673174924105161i</v>
      </c>
      <c r="X87" s="4">
        <f t="shared" si="121"/>
        <v>1.0000002265822134</v>
      </c>
      <c r="Y87" s="4">
        <f t="shared" si="122"/>
        <v>-6.7317482241886751E-4</v>
      </c>
      <c r="Z87" t="str">
        <f t="shared" si="107"/>
        <v>0.999999997601167+0.00045061505123774i</v>
      </c>
      <c r="AA87" s="4">
        <f t="shared" si="123"/>
        <v>1.0000000991281242</v>
      </c>
      <c r="AB87" s="4">
        <f t="shared" si="124"/>
        <v>4.5061502181897558E-4</v>
      </c>
      <c r="AC87" s="47" t="str">
        <f t="shared" si="125"/>
        <v>19.5114199016118-1.45275111664619i</v>
      </c>
      <c r="AD87" s="20">
        <f t="shared" si="126"/>
        <v>25.829787275345467</v>
      </c>
      <c r="AE87" s="43">
        <f t="shared" si="127"/>
        <v>-4.2581833200367338</v>
      </c>
      <c r="AF87" t="str">
        <f t="shared" si="108"/>
        <v>72.2956529813786</v>
      </c>
      <c r="AG87" t="str">
        <f t="shared" si="109"/>
        <v>1+0.0607473051512496i</v>
      </c>
      <c r="AH87">
        <f t="shared" si="128"/>
        <v>1.0018434184457863</v>
      </c>
      <c r="AI87">
        <f t="shared" si="129"/>
        <v>6.0672746220189359E-2</v>
      </c>
      <c r="AJ87" t="str">
        <f t="shared" si="110"/>
        <v>1+0.00115709152669047i</v>
      </c>
      <c r="AK87">
        <f t="shared" si="130"/>
        <v>1.0000006694301764</v>
      </c>
      <c r="AL87">
        <f t="shared" si="131"/>
        <v>1.1570910102960553E-3</v>
      </c>
      <c r="AM87" t="str">
        <f t="shared" si="111"/>
        <v>1-0.000148982586865356i</v>
      </c>
      <c r="AN87">
        <f t="shared" si="132"/>
        <v>1.0000000110979055</v>
      </c>
      <c r="AO87">
        <f t="shared" si="133"/>
        <v>-1.489825857630929E-4</v>
      </c>
      <c r="AP87" s="41" t="str">
        <f t="shared" si="134"/>
        <v>72.0342694345764-4.30300585260852i</v>
      </c>
      <c r="AQ87">
        <f t="shared" si="135"/>
        <v>37.166252615203355</v>
      </c>
      <c r="AR87" s="43">
        <f t="shared" si="136"/>
        <v>-3.4185319318678458</v>
      </c>
      <c r="AS87" t="str">
        <f t="shared" si="112"/>
        <v>-0.0000166666666666667</v>
      </c>
      <c r="AT87" t="str">
        <f t="shared" si="113"/>
        <v>1.04630616775202E-06i</v>
      </c>
      <c r="AU87">
        <f t="shared" si="137"/>
        <v>1.0463061677520201E-6</v>
      </c>
      <c r="AV87">
        <f t="shared" si="138"/>
        <v>1.5707963267948966</v>
      </c>
      <c r="AW87" t="str">
        <f t="shared" si="114"/>
        <v>1+0.00104540105861037i</v>
      </c>
      <c r="AX87">
        <f t="shared" si="139"/>
        <v>1.0000005464315374</v>
      </c>
      <c r="AY87">
        <f t="shared" si="140"/>
        <v>1.0454006777837774E-3</v>
      </c>
      <c r="AZ87" t="str">
        <f t="shared" si="115"/>
        <v>1+0.0355436359927525i</v>
      </c>
      <c r="BA87">
        <f t="shared" si="141"/>
        <v>1.0006314756490451</v>
      </c>
      <c r="BB87">
        <f t="shared" si="142"/>
        <v>3.5528679310215666E-2</v>
      </c>
      <c r="BC87" s="41" t="str">
        <f t="shared" si="143"/>
        <v>-0.549523620899051+15.9296277271065i</v>
      </c>
      <c r="BD87">
        <f t="shared" si="144"/>
        <v>24.049277734803262</v>
      </c>
      <c r="BE87" s="43">
        <f t="shared" si="145"/>
        <v>91.97574632941199</v>
      </c>
      <c r="BF87" s="41" t="str">
        <f t="shared" si="146"/>
        <v>12.4197983550966+311.607976513817i</v>
      </c>
      <c r="BG87" s="20">
        <f t="shared" si="147"/>
        <v>49.879065010148722</v>
      </c>
      <c r="BH87" s="43">
        <f t="shared" si="148"/>
        <v>87.717563009375269</v>
      </c>
      <c r="BI87" s="41" t="str">
        <f t="shared" si="101"/>
        <v>28.960748771108+1149.84369904376i</v>
      </c>
      <c r="BJ87" s="20">
        <f t="shared" si="149"/>
        <v>61.215530350006588</v>
      </c>
      <c r="BK87" s="43">
        <f t="shared" si="102"/>
        <v>88.557214397544158</v>
      </c>
      <c r="BL87">
        <f t="shared" si="150"/>
        <v>49.879065010148722</v>
      </c>
      <c r="BM87" s="43">
        <f t="shared" si="151"/>
        <v>87.717563009375269</v>
      </c>
    </row>
    <row r="88" spans="14:65" x14ac:dyDescent="0.25">
      <c r="N88" s="9">
        <v>70</v>
      </c>
      <c r="O88" s="34">
        <f t="shared" si="116"/>
        <v>50.118723362727238</v>
      </c>
      <c r="P88" s="33" t="str">
        <f t="shared" si="103"/>
        <v>19.6196196196196</v>
      </c>
      <c r="Q88" s="4" t="str">
        <f t="shared" si="104"/>
        <v>1+0.0762250323173048i</v>
      </c>
      <c r="R88" s="4">
        <f t="shared" si="117"/>
        <v>1.002900920107153</v>
      </c>
      <c r="S88" s="4">
        <f t="shared" si="118"/>
        <v>7.6077915875822064E-2</v>
      </c>
      <c r="T88" s="4" t="str">
        <f t="shared" si="105"/>
        <v>1+0.00118404365068979i</v>
      </c>
      <c r="U88" s="4">
        <f t="shared" si="119"/>
        <v>1.0000007009794378</v>
      </c>
      <c r="V88" s="4">
        <f t="shared" si="120"/>
        <v>1.1840430973632267E-3</v>
      </c>
      <c r="W88" t="str">
        <f t="shared" si="106"/>
        <v>1-0.000688855182415938i</v>
      </c>
      <c r="X88" s="4">
        <f t="shared" si="121"/>
        <v>1.0000002372607031</v>
      </c>
      <c r="Y88" s="4">
        <f t="shared" si="122"/>
        <v>-6.8885507345711283E-4</v>
      </c>
      <c r="Z88" t="str">
        <f t="shared" si="107"/>
        <v>0.999999997488114+0.000461111224147811i</v>
      </c>
      <c r="AA88" s="4">
        <f t="shared" si="123"/>
        <v>1.0000001037998891</v>
      </c>
      <c r="AB88" s="4">
        <f t="shared" si="124"/>
        <v>4.6111119262503696E-4</v>
      </c>
      <c r="AC88" s="47" t="str">
        <f t="shared" si="125"/>
        <v>19.5063500630344-1.48620358892212i</v>
      </c>
      <c r="AD88" s="20">
        <f t="shared" si="126"/>
        <v>25.828658315382974</v>
      </c>
      <c r="AE88" s="43">
        <f t="shared" si="127"/>
        <v>-4.3569910352243264</v>
      </c>
      <c r="AF88" t="str">
        <f t="shared" si="108"/>
        <v>72.2956529813786</v>
      </c>
      <c r="AG88" t="str">
        <f t="shared" si="109"/>
        <v>1+0.0621622916612142i</v>
      </c>
      <c r="AH88">
        <f t="shared" si="128"/>
        <v>1.001930212392347</v>
      </c>
      <c r="AI88">
        <f t="shared" si="129"/>
        <v>6.208240863737105E-2</v>
      </c>
      <c r="AJ88" t="str">
        <f t="shared" si="110"/>
        <v>1+0.00118404365068979i</v>
      </c>
      <c r="AK88">
        <f t="shared" si="130"/>
        <v>1.0000007009794378</v>
      </c>
      <c r="AL88">
        <f t="shared" si="131"/>
        <v>1.1840430973632267E-3</v>
      </c>
      <c r="AM88" t="str">
        <f t="shared" si="111"/>
        <v>1-0.000152452837111177i</v>
      </c>
      <c r="AN88">
        <f t="shared" si="132"/>
        <v>1.0000000116209338</v>
      </c>
      <c r="AO88">
        <f t="shared" si="133"/>
        <v>-1.5245283593008079E-4</v>
      </c>
      <c r="AP88" s="41" t="str">
        <f t="shared" si="134"/>
        <v>72.0219982253306-4.4024729282292i</v>
      </c>
      <c r="AQ88">
        <f t="shared" si="135"/>
        <v>37.16550043089655</v>
      </c>
      <c r="AR88" s="43">
        <f t="shared" si="136"/>
        <v>-3.4979542287609759</v>
      </c>
      <c r="AS88" t="str">
        <f t="shared" si="112"/>
        <v>-0.0000166666666666667</v>
      </c>
      <c r="AT88" t="str">
        <f t="shared" si="113"/>
        <v>1.07067776924077E-06i</v>
      </c>
      <c r="AU88">
        <f t="shared" si="137"/>
        <v>1.0706777692407701E-6</v>
      </c>
      <c r="AV88">
        <f t="shared" si="138"/>
        <v>1.5707963267948966</v>
      </c>
      <c r="AW88" t="str">
        <f t="shared" si="114"/>
        <v>1+0.00106975157739887i</v>
      </c>
      <c r="AX88">
        <f t="shared" si="139"/>
        <v>1.000000572184055</v>
      </c>
      <c r="AY88">
        <f t="shared" si="140"/>
        <v>1.0697511693358364E-3</v>
      </c>
      <c r="AZ88" t="str">
        <f t="shared" si="115"/>
        <v>1+0.0363715536315615i</v>
      </c>
      <c r="BA88">
        <f t="shared" si="141"/>
        <v>1.0006612263466461</v>
      </c>
      <c r="BB88">
        <f t="shared" si="142"/>
        <v>3.6355527829382832E-2</v>
      </c>
      <c r="BC88" s="41" t="str">
        <f t="shared" si="143"/>
        <v>-0.549523592595834+15.5670515886455i</v>
      </c>
      <c r="BD88">
        <f t="shared" si="144"/>
        <v>23.84953575547943</v>
      </c>
      <c r="BE88" s="43">
        <f t="shared" si="145"/>
        <v>92.021726079461914</v>
      </c>
      <c r="BF88" s="41" t="str">
        <f t="shared" si="146"/>
        <v>12.4166083749101+304.473061672948i</v>
      </c>
      <c r="BG88" s="20">
        <f t="shared" si="147"/>
        <v>49.678194070862396</v>
      </c>
      <c r="BH88" s="43">
        <f t="shared" si="148"/>
        <v>87.664735044237602</v>
      </c>
      <c r="BI88" s="41" t="str">
        <f t="shared" si="101"/>
        <v>28.9557359806447+1123.58942463088i</v>
      </c>
      <c r="BJ88" s="20">
        <f t="shared" si="149"/>
        <v>61.015036186375966</v>
      </c>
      <c r="BK88" s="43">
        <f t="shared" si="102"/>
        <v>88.523771850700939</v>
      </c>
      <c r="BL88">
        <f t="shared" si="150"/>
        <v>49.678194070862396</v>
      </c>
      <c r="BM88" s="43">
        <f t="shared" si="151"/>
        <v>87.664735044237602</v>
      </c>
    </row>
    <row r="89" spans="14:65" x14ac:dyDescent="0.25">
      <c r="N89" s="9">
        <v>71</v>
      </c>
      <c r="O89" s="34">
        <f t="shared" si="116"/>
        <v>51.28613839913649</v>
      </c>
      <c r="P89" s="33" t="str">
        <f t="shared" si="103"/>
        <v>19.6196196196196</v>
      </c>
      <c r="Q89" s="4" t="str">
        <f t="shared" si="104"/>
        <v>1+0.078000541406672i</v>
      </c>
      <c r="R89" s="4">
        <f t="shared" si="117"/>
        <v>1.0030374292416679</v>
      </c>
      <c r="S89" s="4">
        <f t="shared" si="118"/>
        <v>7.7842929069972366E-2</v>
      </c>
      <c r="T89" s="4" t="str">
        <f t="shared" si="105"/>
        <v>1+0.00121162357030539i</v>
      </c>
      <c r="U89" s="4">
        <f t="shared" si="119"/>
        <v>1.0000007340155688</v>
      </c>
      <c r="V89" s="4">
        <f t="shared" si="120"/>
        <v>1.2116229774053187E-3</v>
      </c>
      <c r="W89" t="str">
        <f t="shared" si="106"/>
        <v>1-0.00070490068086251i</v>
      </c>
      <c r="X89" s="4">
        <f t="shared" si="121"/>
        <v>1.0000002484424542</v>
      </c>
      <c r="Y89" s="4">
        <f t="shared" si="122"/>
        <v>-7.0490056411102694E-4</v>
      </c>
      <c r="Z89" t="str">
        <f t="shared" si="107"/>
        <v>0.999999997369732+0.000471851884332455i</v>
      </c>
      <c r="AA89" s="4">
        <f t="shared" si="123"/>
        <v>1.0000001086918267</v>
      </c>
      <c r="AB89" s="4">
        <f t="shared" si="124"/>
        <v>4.7185185055519444E-4</v>
      </c>
      <c r="AC89" s="47" t="str">
        <f t="shared" si="125"/>
        <v>19.501044115101-1.52040785119876i</v>
      </c>
      <c r="AD89" s="20">
        <f t="shared" si="126"/>
        <v>25.827476463822684</v>
      </c>
      <c r="AE89" s="43">
        <f t="shared" si="127"/>
        <v>-4.4580733645714359</v>
      </c>
      <c r="AF89" t="str">
        <f t="shared" si="108"/>
        <v>72.2956529813786</v>
      </c>
      <c r="AG89" t="str">
        <f t="shared" si="109"/>
        <v>1+0.0636102374410328i</v>
      </c>
      <c r="AH89">
        <f t="shared" si="128"/>
        <v>1.002021088753777</v>
      </c>
      <c r="AI89">
        <f t="shared" si="129"/>
        <v>6.3524650560620843E-2</v>
      </c>
      <c r="AJ89" t="str">
        <f t="shared" si="110"/>
        <v>1+0.00121162357030539i</v>
      </c>
      <c r="AK89">
        <f t="shared" si="130"/>
        <v>1.0000007340155688</v>
      </c>
      <c r="AL89">
        <f t="shared" si="131"/>
        <v>1.2116229774053187E-3</v>
      </c>
      <c r="AM89" t="str">
        <f t="shared" si="111"/>
        <v>1-0.000156003919869187i</v>
      </c>
      <c r="AN89">
        <f t="shared" si="132"/>
        <v>1.0000000121686115</v>
      </c>
      <c r="AO89">
        <f t="shared" si="133"/>
        <v>-1.5600391860361962E-4</v>
      </c>
      <c r="AP89" s="41" t="str">
        <f t="shared" si="134"/>
        <v>72.0091532481577-4.50420262411477i</v>
      </c>
      <c r="AQ89">
        <f t="shared" si="135"/>
        <v>37.164712936944142</v>
      </c>
      <c r="AR89" s="43">
        <f t="shared" si="136"/>
        <v>-3.5792118553240235</v>
      </c>
      <c r="AS89" t="str">
        <f t="shared" si="112"/>
        <v>-0.0000166666666666667</v>
      </c>
      <c r="AT89" t="str">
        <f t="shared" si="113"/>
        <v>1.09561705825487E-06i</v>
      </c>
      <c r="AU89">
        <f t="shared" si="137"/>
        <v>1.0956170582548701E-6</v>
      </c>
      <c r="AV89">
        <f t="shared" si="138"/>
        <v>1.5707963267948966</v>
      </c>
      <c r="AW89" t="str">
        <f t="shared" si="114"/>
        <v>1+0.00109466929263355i</v>
      </c>
      <c r="AX89">
        <f t="shared" si="139"/>
        <v>1.0000005991502507</v>
      </c>
      <c r="AY89">
        <f t="shared" si="140"/>
        <v>1.0946688553861461E-3</v>
      </c>
      <c r="AZ89" t="str">
        <f t="shared" si="115"/>
        <v>1+0.0372187559495405i</v>
      </c>
      <c r="BA89">
        <f t="shared" si="141"/>
        <v>1.0006923782034274</v>
      </c>
      <c r="BB89">
        <f t="shared" si="142"/>
        <v>3.7201584634752788E-2</v>
      </c>
      <c r="BC89" s="41" t="str">
        <f t="shared" si="143"/>
        <v>-0.549523562958731+15.2127293069882i</v>
      </c>
      <c r="BD89">
        <f t="shared" si="144"/>
        <v>23.649805919837842</v>
      </c>
      <c r="BE89" s="43">
        <f t="shared" si="145"/>
        <v>92.068773885392019</v>
      </c>
      <c r="BF89" s="41" t="str">
        <f t="shared" si="146"/>
        <v>12.4132698329606+297.499605266208i</v>
      </c>
      <c r="BG89" s="20">
        <f t="shared" si="147"/>
        <v>49.47728238366053</v>
      </c>
      <c r="BH89" s="43">
        <f t="shared" si="148"/>
        <v>87.6107005208206</v>
      </c>
      <c r="BI89" s="41" t="str">
        <f t="shared" si="101"/>
        <v>28.950488805915+1097.93092146394i</v>
      </c>
      <c r="BJ89" s="20">
        <f t="shared" si="149"/>
        <v>60.814518856781952</v>
      </c>
      <c r="BK89" s="43">
        <f t="shared" si="102"/>
        <v>88.489562030068001</v>
      </c>
      <c r="BL89">
        <f t="shared" si="150"/>
        <v>49.47728238366053</v>
      </c>
      <c r="BM89" s="43">
        <f t="shared" si="151"/>
        <v>87.6107005208206</v>
      </c>
    </row>
    <row r="90" spans="14:65" x14ac:dyDescent="0.25">
      <c r="N90" s="9">
        <v>72</v>
      </c>
      <c r="O90" s="34">
        <f t="shared" si="116"/>
        <v>52.480746024977286</v>
      </c>
      <c r="P90" s="33" t="str">
        <f t="shared" si="103"/>
        <v>19.6196196196196</v>
      </c>
      <c r="Q90" s="4" t="str">
        <f t="shared" si="104"/>
        <v>1+0.0798174074155524i</v>
      </c>
      <c r="R90" s="4">
        <f t="shared" si="117"/>
        <v>1.0031803519440263</v>
      </c>
      <c r="S90" s="4">
        <f t="shared" si="118"/>
        <v>7.9648551657462791E-2</v>
      </c>
      <c r="T90" s="4" t="str">
        <f t="shared" si="105"/>
        <v>1+0.00123984590877569i</v>
      </c>
      <c r="U90" s="4">
        <f t="shared" si="119"/>
        <v>1.0000007686086434</v>
      </c>
      <c r="V90" s="4">
        <f t="shared" si="120"/>
        <v>1.2398452734718437E-3</v>
      </c>
      <c r="W90" t="str">
        <f t="shared" si="106"/>
        <v>1-0.00072131992698054i</v>
      </c>
      <c r="X90" s="4">
        <f t="shared" si="121"/>
        <v>1.0000002601511848</v>
      </c>
      <c r="Y90" s="4">
        <f t="shared" si="122"/>
        <v>-7.2131980187907366E-4</v>
      </c>
      <c r="Z90" t="str">
        <f t="shared" si="107"/>
        <v>0.999999997245771+0.000482842726631871i</v>
      </c>
      <c r="AA90" s="4">
        <f t="shared" si="123"/>
        <v>1.0000001138143138</v>
      </c>
      <c r="AB90" s="4">
        <f t="shared" si="124"/>
        <v>4.8284269043888454E-4</v>
      </c>
      <c r="AC90" s="47" t="str">
        <f t="shared" si="125"/>
        <v>19.4954912003197-1.55537948066863i</v>
      </c>
      <c r="AD90" s="20">
        <f t="shared" si="126"/>
        <v>25.826239258129014</v>
      </c>
      <c r="AE90" s="43">
        <f t="shared" si="127"/>
        <v>-4.5614813815409114</v>
      </c>
      <c r="AF90" t="str">
        <f t="shared" si="108"/>
        <v>72.2956529813786</v>
      </c>
      <c r="AG90" t="str">
        <f t="shared" si="109"/>
        <v>1+0.0650919102107239i</v>
      </c>
      <c r="AH90">
        <f t="shared" si="128"/>
        <v>1.0021162391533633</v>
      </c>
      <c r="AI90">
        <f t="shared" si="129"/>
        <v>6.5000212672540747E-2</v>
      </c>
      <c r="AJ90" t="str">
        <f t="shared" si="110"/>
        <v>1+0.00123984590877569i</v>
      </c>
      <c r="AK90">
        <f t="shared" si="130"/>
        <v>1.0000007686086434</v>
      </c>
      <c r="AL90">
        <f t="shared" si="131"/>
        <v>1.2398452734718437E-3</v>
      </c>
      <c r="AM90" t="str">
        <f t="shared" si="111"/>
        <v>1-0.000159637717970467i</v>
      </c>
      <c r="AN90">
        <f t="shared" si="132"/>
        <v>1.0000000127421005</v>
      </c>
      <c r="AO90">
        <f t="shared" si="133"/>
        <v>-1.5963771661438712E-4</v>
      </c>
      <c r="AP90" s="41" t="str">
        <f t="shared" si="134"/>
        <v>71.995707899077-4.60824379761413i</v>
      </c>
      <c r="AQ90">
        <f t="shared" si="135"/>
        <v>37.163888482677081</v>
      </c>
      <c r="AR90" s="43">
        <f t="shared" si="136"/>
        <v>-3.6623465195832852</v>
      </c>
      <c r="AS90" t="str">
        <f t="shared" si="112"/>
        <v>-0.0000166666666666667</v>
      </c>
      <c r="AT90" t="str">
        <f t="shared" si="113"/>
        <v>1.12113725793547E-06i</v>
      </c>
      <c r="AU90">
        <f t="shared" si="137"/>
        <v>1.1211372579354701E-6</v>
      </c>
      <c r="AV90">
        <f t="shared" si="138"/>
        <v>1.5707963267948966</v>
      </c>
      <c r="AW90" t="str">
        <f t="shared" si="114"/>
        <v>1+0.00112016741601684i</v>
      </c>
      <c r="AX90">
        <f t="shared" si="139"/>
        <v>1.0000006273873232</v>
      </c>
      <c r="AY90">
        <f t="shared" si="140"/>
        <v>1.1201669474978212E-3</v>
      </c>
      <c r="AZ90" t="str">
        <f t="shared" si="115"/>
        <v>1+0.0380856921445725i</v>
      </c>
      <c r="BA90">
        <f t="shared" si="141"/>
        <v>1.0007249971626226</v>
      </c>
      <c r="BB90">
        <f t="shared" si="142"/>
        <v>3.8067293469134782E-2</v>
      </c>
      <c r="BC90" s="41" t="str">
        <f t="shared" si="143"/>
        <v>-0.549523531924874+14.8664730157706i</v>
      </c>
      <c r="BD90">
        <f t="shared" si="144"/>
        <v>23.450088798607048</v>
      </c>
      <c r="BE90" s="43">
        <f t="shared" si="145"/>
        <v>92.116914414825658</v>
      </c>
      <c r="BF90" s="41" t="str">
        <f t="shared" si="146"/>
        <v>12.4097758976335+290.683911484447i</v>
      </c>
      <c r="BG90" s="20">
        <f t="shared" si="147"/>
        <v>49.27632805673607</v>
      </c>
      <c r="BH90" s="43">
        <f t="shared" si="148"/>
        <v>87.555433033284757</v>
      </c>
      <c r="BI90" s="41" t="str">
        <f t="shared" si="101"/>
        <v>28.9449963791903+1072.85458714057i</v>
      </c>
      <c r="BJ90" s="20">
        <f t="shared" si="149"/>
        <v>60.613977281284157</v>
      </c>
      <c r="BK90" s="43">
        <f t="shared" si="102"/>
        <v>88.454567895242391</v>
      </c>
      <c r="BL90">
        <f t="shared" si="150"/>
        <v>49.27632805673607</v>
      </c>
      <c r="BM90" s="43">
        <f t="shared" si="151"/>
        <v>87.555433033284757</v>
      </c>
    </row>
    <row r="91" spans="14:65" x14ac:dyDescent="0.25">
      <c r="N91" s="9">
        <v>73</v>
      </c>
      <c r="O91" s="34">
        <f t="shared" si="116"/>
        <v>53.703179637025293</v>
      </c>
      <c r="P91" s="33" t="str">
        <f t="shared" si="103"/>
        <v>19.6196196196196</v>
      </c>
      <c r="Q91" s="4" t="str">
        <f t="shared" si="104"/>
        <v>1+0.0816765936703525i</v>
      </c>
      <c r="R91" s="4">
        <f t="shared" si="117"/>
        <v>1.0033299885648748</v>
      </c>
      <c r="S91" s="4">
        <f t="shared" si="118"/>
        <v>8.1495693882421866E-2</v>
      </c>
      <c r="T91" s="4" t="str">
        <f t="shared" si="105"/>
        <v>1+0.00126872562995813i</v>
      </c>
      <c r="U91" s="4">
        <f t="shared" si="119"/>
        <v>1.0000008048320381</v>
      </c>
      <c r="V91" s="4">
        <f t="shared" si="120"/>
        <v>1.2687249492178236E-3</v>
      </c>
      <c r="W91" t="str">
        <f t="shared" si="106"/>
        <v>1-0.000738121626471651i</v>
      </c>
      <c r="X91" s="4">
        <f t="shared" si="121"/>
        <v>1.0000002724117305</v>
      </c>
      <c r="Y91" s="4">
        <f t="shared" si="122"/>
        <v>-7.3812149242301686E-4</v>
      </c>
      <c r="Z91" t="str">
        <f t="shared" si="107"/>
        <v>0.999999997115969+0.000494089578536125i</v>
      </c>
      <c r="AA91" s="4">
        <f t="shared" si="123"/>
        <v>1.0000001191782175</v>
      </c>
      <c r="AB91" s="4">
        <f t="shared" si="124"/>
        <v>4.9408953975464112E-4</v>
      </c>
      <c r="AC91" s="47" t="str">
        <f t="shared" si="125"/>
        <v>19.489679975178-1.59113428224848i</v>
      </c>
      <c r="AD91" s="20">
        <f t="shared" si="126"/>
        <v>25.824944122593511</v>
      </c>
      <c r="AE91" s="43">
        <f t="shared" si="127"/>
        <v>-4.6672672146130028</v>
      </c>
      <c r="AF91" t="str">
        <f t="shared" si="108"/>
        <v>72.2956529813786</v>
      </c>
      <c r="AG91" t="str">
        <f t="shared" si="109"/>
        <v>1+0.0666080955728017i</v>
      </c>
      <c r="AH91">
        <f t="shared" si="128"/>
        <v>1.0022158641709058</v>
      </c>
      <c r="AI91">
        <f t="shared" si="129"/>
        <v>6.6509851619470789E-2</v>
      </c>
      <c r="AJ91" t="str">
        <f t="shared" si="110"/>
        <v>1+0.00126872562995813i</v>
      </c>
      <c r="AK91">
        <f t="shared" si="130"/>
        <v>1.0000008048320381</v>
      </c>
      <c r="AL91">
        <f t="shared" si="131"/>
        <v>1.2687249492178236E-3</v>
      </c>
      <c r="AM91" t="str">
        <f t="shared" si="111"/>
        <v>1-0.00016335615810287i</v>
      </c>
      <c r="AN91">
        <f t="shared" si="132"/>
        <v>1.0000000133426172</v>
      </c>
      <c r="AO91">
        <f t="shared" si="133"/>
        <v>-1.6335615664980421E-4</v>
      </c>
      <c r="AP91" s="41" t="str">
        <f t="shared" si="134"/>
        <v>71.9816343620478-4.71464617332029i</v>
      </c>
      <c r="AQ91">
        <f t="shared" si="135"/>
        <v>37.163025340919425</v>
      </c>
      <c r="AR91" s="43">
        <f t="shared" si="136"/>
        <v>-3.7474008272174002</v>
      </c>
      <c r="AS91" t="str">
        <f t="shared" si="112"/>
        <v>-0.0000166666666666667</v>
      </c>
      <c r="AT91" t="str">
        <f t="shared" si="113"/>
        <v>1.14725189943022E-06i</v>
      </c>
      <c r="AU91">
        <f t="shared" si="137"/>
        <v>1.14725189943022E-6</v>
      </c>
      <c r="AV91">
        <f t="shared" si="138"/>
        <v>1.5707963267948966</v>
      </c>
      <c r="AW91" t="str">
        <f t="shared" si="114"/>
        <v>1+0.00114625946699127i</v>
      </c>
      <c r="AX91">
        <f t="shared" si="139"/>
        <v>1.0000006569551672</v>
      </c>
      <c r="AY91">
        <f t="shared" si="140"/>
        <v>1.1462589649641145E-3</v>
      </c>
      <c r="AZ91" t="str">
        <f t="shared" si="115"/>
        <v>1+0.0389728218777031i</v>
      </c>
      <c r="BA91">
        <f t="shared" si="141"/>
        <v>1.0007591522664738</v>
      </c>
      <c r="BB91">
        <f t="shared" si="142"/>
        <v>3.8953108149392852E-2</v>
      </c>
      <c r="BC91" s="41" t="str">
        <f t="shared" si="143"/>
        <v>-0.549523499428446+14.5280991253239i</v>
      </c>
      <c r="BD91">
        <f t="shared" si="144"/>
        <v>23.250384989260727</v>
      </c>
      <c r="BE91" s="43">
        <f t="shared" si="145"/>
        <v>92.16617289495538</v>
      </c>
      <c r="BF91" s="41" t="str">
        <f t="shared" si="146"/>
        <v>12.4061194315067+284.022368279068i</v>
      </c>
      <c r="BG91" s="20">
        <f t="shared" si="147"/>
        <v>49.075329111854238</v>
      </c>
      <c r="BH91" s="43">
        <f t="shared" si="148"/>
        <v>87.498905680342375</v>
      </c>
      <c r="BI91" s="41" t="str">
        <f t="shared" si="101"/>
        <v>28.9392473376148+1048.34712807838i</v>
      </c>
      <c r="BJ91" s="20">
        <f t="shared" si="149"/>
        <v>60.413410330180142</v>
      </c>
      <c r="BK91" s="43">
        <f t="shared" si="102"/>
        <v>88.418772067737976</v>
      </c>
      <c r="BL91">
        <f t="shared" si="150"/>
        <v>49.075329111854238</v>
      </c>
      <c r="BM91" s="43">
        <f t="shared" si="151"/>
        <v>87.498905680342375</v>
      </c>
    </row>
    <row r="92" spans="14:65" x14ac:dyDescent="0.25">
      <c r="N92" s="9">
        <v>74</v>
      </c>
      <c r="O92" s="34">
        <f t="shared" si="116"/>
        <v>54.95408738576247</v>
      </c>
      <c r="P92" s="33" t="str">
        <f t="shared" si="103"/>
        <v>19.6196196196196</v>
      </c>
      <c r="Q92" s="4" t="str">
        <f t="shared" si="104"/>
        <v>1+0.0835790859362344i</v>
      </c>
      <c r="R92" s="4">
        <f t="shared" si="117"/>
        <v>1.0034866534269087</v>
      </c>
      <c r="S92" s="4">
        <f t="shared" si="118"/>
        <v>8.3385284677378185E-2</v>
      </c>
      <c r="T92" s="4" t="str">
        <f t="shared" si="105"/>
        <v>1+0.00129827804626314i</v>
      </c>
      <c r="U92" s="4">
        <f t="shared" si="119"/>
        <v>1.0000008427625875</v>
      </c>
      <c r="V92" s="4">
        <f t="shared" si="120"/>
        <v>1.2982773168367932E-3</v>
      </c>
      <c r="W92" t="str">
        <f t="shared" si="106"/>
        <v>1-0.000755314687819313i</v>
      </c>
      <c r="X92" s="4">
        <f t="shared" si="121"/>
        <v>1.0000002852500982</v>
      </c>
      <c r="Y92" s="4">
        <f t="shared" si="122"/>
        <v>-7.553145441836158E-4</v>
      </c>
      <c r="Z92" t="str">
        <f t="shared" si="107"/>
        <v>0.999999996980048+0.000505598403274969i</v>
      </c>
      <c r="AA92" s="4">
        <f t="shared" si="123"/>
        <v>1.0000001247949131</v>
      </c>
      <c r="AB92" s="4">
        <f t="shared" si="124"/>
        <v>5.055983617198611E-4</v>
      </c>
      <c r="AC92" s="47" t="str">
        <f t="shared" si="125"/>
        <v>19.4835985896609-1.62768828460727i</v>
      </c>
      <c r="AD92" s="20">
        <f t="shared" si="126"/>
        <v>25.823588363275562</v>
      </c>
      <c r="AE92" s="43">
        <f t="shared" si="127"/>
        <v>-4.77548406246017</v>
      </c>
      <c r="AF92" t="str">
        <f t="shared" si="108"/>
        <v>72.2956529813786</v>
      </c>
      <c r="AG92" t="str">
        <f t="shared" si="109"/>
        <v>1+0.0681595974288148i</v>
      </c>
      <c r="AH92">
        <f t="shared" si="128"/>
        <v>1.0023201737576961</v>
      </c>
      <c r="AI92">
        <f t="shared" si="129"/>
        <v>6.8054340292609969E-2</v>
      </c>
      <c r="AJ92" t="str">
        <f t="shared" si="110"/>
        <v>1+0.00129827804626314i</v>
      </c>
      <c r="AK92">
        <f t="shared" si="130"/>
        <v>1.0000008427625875</v>
      </c>
      <c r="AL92">
        <f t="shared" si="131"/>
        <v>1.2982773168367932E-3</v>
      </c>
      <c r="AM92" t="str">
        <f t="shared" si="111"/>
        <v>1-0.000167161211832574i</v>
      </c>
      <c r="AN92">
        <f t="shared" si="132"/>
        <v>1.0000000139714353</v>
      </c>
      <c r="AO92">
        <f t="shared" si="133"/>
        <v>-1.6716121027558599E-4</v>
      </c>
      <c r="AP92" s="41" t="str">
        <f t="shared" si="134"/>
        <v>71.9669035558169-4.82346034441943i</v>
      </c>
      <c r="AQ92">
        <f t="shared" si="135"/>
        <v>37.162121704505829</v>
      </c>
      <c r="AR92" s="43">
        <f t="shared" si="136"/>
        <v>-3.8344182972684258</v>
      </c>
      <c r="AS92" t="str">
        <f t="shared" si="112"/>
        <v>-0.0000166666666666667</v>
      </c>
      <c r="AT92" t="str">
        <f t="shared" si="113"/>
        <v>1.17397482906773E-06i</v>
      </c>
      <c r="AU92">
        <f t="shared" si="137"/>
        <v>1.17397482906773E-6</v>
      </c>
      <c r="AV92">
        <f t="shared" si="138"/>
        <v>1.5707963267948966</v>
      </c>
      <c r="AW92" t="str">
        <f t="shared" si="114"/>
        <v>1+0.00117295927990764i</v>
      </c>
      <c r="AX92">
        <f t="shared" si="139"/>
        <v>1.0000006879164995</v>
      </c>
      <c r="AY92">
        <f t="shared" si="140"/>
        <v>1.1729587419758709E-3</v>
      </c>
      <c r="AZ92" t="str">
        <f t="shared" si="115"/>
        <v>1+0.0398806155168597i</v>
      </c>
      <c r="BA92">
        <f t="shared" si="141"/>
        <v>1.0007949158014362</v>
      </c>
      <c r="BB92">
        <f t="shared" si="142"/>
        <v>3.9859492782462251E-2</v>
      </c>
      <c r="BC92" s="41" t="str">
        <f t="shared" si="143"/>
        <v>-0.549523465400511+14.1974282253319i</v>
      </c>
      <c r="BD92">
        <f t="shared" si="144"/>
        <v>23.050695117262968</v>
      </c>
      <c r="BE92" s="43">
        <f t="shared" si="145"/>
        <v>92.216575124509049</v>
      </c>
      <c r="BF92" s="41" t="str">
        <f t="shared" si="146"/>
        <v>12.4022929784624+277.511445454638i</v>
      </c>
      <c r="BG92" s="20">
        <f t="shared" si="147"/>
        <v>48.874283480538537</v>
      </c>
      <c r="BH92" s="43">
        <f t="shared" si="148"/>
        <v>87.441091062048883</v>
      </c>
      <c r="BI92" s="41" t="str">
        <f t="shared" si="101"/>
        <v>28.9332298014927+1024.39555247678i</v>
      </c>
      <c r="BJ92" s="20">
        <f t="shared" si="149"/>
        <v>60.212816821768797</v>
      </c>
      <c r="BK92" s="43">
        <f t="shared" si="102"/>
        <v>88.382156827240635</v>
      </c>
      <c r="BL92">
        <f t="shared" si="150"/>
        <v>48.874283480538537</v>
      </c>
      <c r="BM92" s="43">
        <f t="shared" si="151"/>
        <v>87.441091062048883</v>
      </c>
    </row>
    <row r="93" spans="14:65" x14ac:dyDescent="0.25">
      <c r="N93" s="9">
        <v>75</v>
      </c>
      <c r="O93" s="34">
        <f t="shared" si="116"/>
        <v>56.234132519034915</v>
      </c>
      <c r="P93" s="33" t="str">
        <f t="shared" si="103"/>
        <v>19.6196196196196</v>
      </c>
      <c r="Q93" s="4" t="str">
        <f t="shared" si="104"/>
        <v>1+0.0855258929397796i</v>
      </c>
      <c r="R93" s="4">
        <f t="shared" si="117"/>
        <v>1.0036506754658947</v>
      </c>
      <c r="S93" s="4">
        <f t="shared" si="118"/>
        <v>8.5318271923259928E-2</v>
      </c>
      <c r="T93" s="4" t="str">
        <f t="shared" si="105"/>
        <v>1+0.00132851882677302i</v>
      </c>
      <c r="U93" s="4">
        <f t="shared" si="119"/>
        <v>1.0000008824807471</v>
      </c>
      <c r="V93" s="4">
        <f t="shared" si="120"/>
        <v>1.3285180451786448E-3</v>
      </c>
      <c r="W93" t="str">
        <f t="shared" si="106"/>
        <v>1-0.000772908227012228i</v>
      </c>
      <c r="X93" s="4">
        <f t="shared" si="121"/>
        <v>1.000000298693519</v>
      </c>
      <c r="Y93" s="4">
        <f t="shared" si="122"/>
        <v>-7.7290807310380805E-4</v>
      </c>
      <c r="Z93" t="str">
        <f t="shared" si="107"/>
        <v>0.999999996837722+0.000517375302979614i</v>
      </c>
      <c r="AA93" s="4">
        <f t="shared" si="123"/>
        <v>1.0000001306763155</v>
      </c>
      <c r="AB93" s="4">
        <f t="shared" si="124"/>
        <v>5.1737525845251388E-4</v>
      </c>
      <c r="AC93" s="47" t="str">
        <f t="shared" si="125"/>
        <v>19.4772346660277-1.66505773548427i</v>
      </c>
      <c r="AD93" s="20">
        <f t="shared" si="126"/>
        <v>25.822169162729658</v>
      </c>
      <c r="AE93" s="43">
        <f t="shared" si="127"/>
        <v>-4.8861862088308676</v>
      </c>
      <c r="AF93" t="str">
        <f t="shared" si="108"/>
        <v>72.2956529813786</v>
      </c>
      <c r="AG93" t="str">
        <f t="shared" si="109"/>
        <v>1+0.0697472384055834i</v>
      </c>
      <c r="AH93">
        <f t="shared" si="128"/>
        <v>1.002429387670376</v>
      </c>
      <c r="AI93">
        <f t="shared" si="129"/>
        <v>6.9634468109369366E-2</v>
      </c>
      <c r="AJ93" t="str">
        <f t="shared" si="110"/>
        <v>1+0.00132851882677302i</v>
      </c>
      <c r="AK93">
        <f t="shared" si="130"/>
        <v>1.0000008824807471</v>
      </c>
      <c r="AL93">
        <f t="shared" si="131"/>
        <v>1.3285180451786448E-3</v>
      </c>
      <c r="AM93" t="str">
        <f t="shared" si="111"/>
        <v>1-0.000171054896649432i</v>
      </c>
      <c r="AN93">
        <f t="shared" si="132"/>
        <v>1.0000000146298889</v>
      </c>
      <c r="AO93">
        <f t="shared" si="133"/>
        <v>-1.7105489498108929E-4</v>
      </c>
      <c r="AP93" s="41" t="str">
        <f t="shared" si="134"/>
        <v>71.9514850786331-4.93473777278452i</v>
      </c>
      <c r="AQ93">
        <f t="shared" si="135"/>
        <v>37.161175682646245</v>
      </c>
      <c r="AR93" s="43">
        <f t="shared" si="136"/>
        <v>-3.9234433778569509</v>
      </c>
      <c r="AS93" t="str">
        <f t="shared" si="112"/>
        <v>-0.0000166666666666667</v>
      </c>
      <c r="AT93" t="str">
        <f t="shared" si="113"/>
        <v>1.20132021569901E-06i</v>
      </c>
      <c r="AU93">
        <f t="shared" si="137"/>
        <v>1.2013202156990099E-6</v>
      </c>
      <c r="AV93">
        <f t="shared" si="138"/>
        <v>1.5707963267948966</v>
      </c>
      <c r="AW93" t="str">
        <f t="shared" si="114"/>
        <v>1+0.00120028101136017i</v>
      </c>
      <c r="AX93">
        <f t="shared" si="139"/>
        <v>1.0000007203369936</v>
      </c>
      <c r="AY93">
        <f t="shared" si="140"/>
        <v>1.2002804349559172E-3</v>
      </c>
      <c r="AZ93" t="str">
        <f t="shared" si="115"/>
        <v>1+0.0408095543862456i</v>
      </c>
      <c r="BA93">
        <f t="shared" si="141"/>
        <v>1.0008323634501453</v>
      </c>
      <c r="BB93">
        <f t="shared" si="142"/>
        <v>4.0786921985074942E-2</v>
      </c>
      <c r="BC93" s="41" t="str">
        <f t="shared" si="143"/>
        <v>-0.549523429768889+13.8742849897064i</v>
      </c>
      <c r="BD93">
        <f t="shared" si="144"/>
        <v>22.851019837371979</v>
      </c>
      <c r="BE93" s="43">
        <f t="shared" si="145"/>
        <v>92.26814748591903</v>
      </c>
      <c r="BF93" s="41" t="str">
        <f t="shared" si="146"/>
        <v>12.3982887503349+271.147692805424i</v>
      </c>
      <c r="BG93" s="20">
        <f t="shared" si="147"/>
        <v>48.673189000101644</v>
      </c>
      <c r="BH93" s="43">
        <f t="shared" si="148"/>
        <v>87.381961277088166</v>
      </c>
      <c r="BI93" s="41" t="str">
        <f t="shared" si="101"/>
        <v>28.926931351706+1000.98716343947i</v>
      </c>
      <c r="BJ93" s="20">
        <f t="shared" si="149"/>
        <v>60.012195520018196</v>
      </c>
      <c r="BK93" s="43">
        <f t="shared" si="102"/>
        <v>88.344704108062075</v>
      </c>
      <c r="BL93">
        <f t="shared" si="150"/>
        <v>48.673189000101644</v>
      </c>
      <c r="BM93" s="43">
        <f t="shared" si="151"/>
        <v>87.381961277088166</v>
      </c>
    </row>
    <row r="94" spans="14:65" x14ac:dyDescent="0.25">
      <c r="N94" s="9">
        <v>76</v>
      </c>
      <c r="O94" s="34">
        <f t="shared" si="116"/>
        <v>57.543993733715695</v>
      </c>
      <c r="P94" s="33" t="str">
        <f t="shared" si="103"/>
        <v>19.6196196196196</v>
      </c>
      <c r="Q94" s="4" t="str">
        <f t="shared" si="104"/>
        <v>1+0.0875180469038305i</v>
      </c>
      <c r="R94" s="4">
        <f t="shared" si="117"/>
        <v>1.0038223989002542</v>
      </c>
      <c r="S94" s="4">
        <f t="shared" si="118"/>
        <v>8.7295622703454645E-2</v>
      </c>
      <c r="T94" s="4" t="str">
        <f t="shared" si="105"/>
        <v>1+0.00135946400554988i</v>
      </c>
      <c r="U94" s="4">
        <f t="shared" si="119"/>
        <v>1.0000009240707644</v>
      </c>
      <c r="V94" s="4">
        <f t="shared" si="120"/>
        <v>1.35946316805646E-3</v>
      </c>
      <c r="W94" t="str">
        <f t="shared" si="106"/>
        <v>1-0.000790911572377756i</v>
      </c>
      <c r="X94" s="4">
        <f t="shared" si="121"/>
        <v>1.0000003127705088</v>
      </c>
      <c r="Y94" s="4">
        <f t="shared" si="122"/>
        <v>-7.909114074619156E-4</v>
      </c>
      <c r="Z94" t="str">
        <f t="shared" si="107"/>
        <v>0.999999996688689+0.000529426521918171i</v>
      </c>
      <c r="AA94" s="4">
        <f t="shared" si="123"/>
        <v>1.0000001368349007</v>
      </c>
      <c r="AB94" s="4">
        <f t="shared" si="124"/>
        <v>5.2942647420652371E-4</v>
      </c>
      <c r="AC94" s="47" t="str">
        <f t="shared" si="125"/>
        <v>19.4705752768379-1.70325909624222i</v>
      </c>
      <c r="AD94" s="20">
        <f t="shared" si="126"/>
        <v>25.820683574513698</v>
      </c>
      <c r="AE94" s="43">
        <f t="shared" si="127"/>
        <v>-4.9994290370920709</v>
      </c>
      <c r="AF94" t="str">
        <f t="shared" si="108"/>
        <v>72.2956529813786</v>
      </c>
      <c r="AG94" t="str">
        <f t="shared" si="109"/>
        <v>1+0.0713718602913687i</v>
      </c>
      <c r="AH94">
        <f t="shared" si="128"/>
        <v>1.0025437359244986</v>
      </c>
      <c r="AI94">
        <f t="shared" si="129"/>
        <v>7.125104129454056E-2</v>
      </c>
      <c r="AJ94" t="str">
        <f t="shared" si="110"/>
        <v>1+0.00135946400554988i</v>
      </c>
      <c r="AK94">
        <f t="shared" si="130"/>
        <v>1.0000009240707644</v>
      </c>
      <c r="AL94">
        <f t="shared" si="131"/>
        <v>1.35946316805646E-3</v>
      </c>
      <c r="AM94" t="str">
        <f t="shared" si="111"/>
        <v>1-0.000175039277036673i</v>
      </c>
      <c r="AN94">
        <f t="shared" si="132"/>
        <v>1.000000015319374</v>
      </c>
      <c r="AO94">
        <f t="shared" si="133"/>
        <v>-1.7503927524901156E-4</v>
      </c>
      <c r="AP94" s="41" t="str">
        <f t="shared" si="134"/>
        <v>71.9353471507666-5.04853078770046i</v>
      </c>
      <c r="AQ94">
        <f t="shared" si="135"/>
        <v>37.160185297132251</v>
      </c>
      <c r="AR94" s="43">
        <f t="shared" si="136"/>
        <v>-4.0145214618771918</v>
      </c>
      <c r="AS94" t="str">
        <f t="shared" si="112"/>
        <v>-0.0000166666666666667</v>
      </c>
      <c r="AT94" t="str">
        <f t="shared" si="113"/>
        <v>0.00000122930255821i</v>
      </c>
      <c r="AU94">
        <f t="shared" si="137"/>
        <v>1.22930255821E-6</v>
      </c>
      <c r="AV94">
        <f t="shared" si="138"/>
        <v>1.5707963267948966</v>
      </c>
      <c r="AW94" t="str">
        <f t="shared" si="114"/>
        <v>1+0.00122823914769252i</v>
      </c>
      <c r="AX94">
        <f t="shared" si="139"/>
        <v>1.0000007542854175</v>
      </c>
      <c r="AY94">
        <f t="shared" si="140"/>
        <v>1.2282385300642605E-3</v>
      </c>
      <c r="AZ94" t="str">
        <f t="shared" si="115"/>
        <v>1+0.0417601310215455i</v>
      </c>
      <c r="BA94">
        <f t="shared" si="141"/>
        <v>1.000871574450457</v>
      </c>
      <c r="BB94">
        <f t="shared" si="142"/>
        <v>4.1735881107191723E-2</v>
      </c>
      <c r="BC94" s="41" t="str">
        <f t="shared" si="143"/>
        <v>-0.549523392458011+13.5584980836263i</v>
      </c>
      <c r="BD94">
        <f t="shared" si="144"/>
        <v>22.651359835002623</v>
      </c>
      <c r="BE94" s="43">
        <f t="shared" si="145"/>
        <v>92.320916957693839</v>
      </c>
      <c r="BF94" s="41" t="str">
        <f t="shared" si="146"/>
        <v>12.3940986130822+264.92773829491i</v>
      </c>
      <c r="BG94" s="20">
        <f t="shared" si="147"/>
        <v>48.47204340951631</v>
      </c>
      <c r="BH94" s="43">
        <f t="shared" si="148"/>
        <v>87.321487920601754</v>
      </c>
      <c r="BI94" s="41" t="str">
        <f t="shared" si="101"/>
        <v>28.9203390062311+978.109552254048i</v>
      </c>
      <c r="BJ94" s="20">
        <f t="shared" si="149"/>
        <v>59.811545132134881</v>
      </c>
      <c r="BK94" s="43">
        <f t="shared" si="102"/>
        <v>88.306395495816645</v>
      </c>
      <c r="BL94">
        <f t="shared" si="150"/>
        <v>48.47204340951631</v>
      </c>
      <c r="BM94" s="43">
        <f t="shared" si="151"/>
        <v>87.321487920601754</v>
      </c>
    </row>
    <row r="95" spans="14:65" x14ac:dyDescent="0.25">
      <c r="N95" s="9">
        <v>77</v>
      </c>
      <c r="O95" s="34">
        <f t="shared" si="116"/>
        <v>58.884365535558949</v>
      </c>
      <c r="P95" s="33" t="str">
        <f t="shared" si="103"/>
        <v>19.6196196196196</v>
      </c>
      <c r="Q95" s="4" t="str">
        <f t="shared" si="104"/>
        <v>1+0.0895566040947881i</v>
      </c>
      <c r="R95" s="4">
        <f t="shared" si="117"/>
        <v>1.004002183930389</v>
      </c>
      <c r="S95" s="4">
        <f t="shared" si="118"/>
        <v>8.9318323550991091E-2</v>
      </c>
      <c r="T95" s="4" t="str">
        <f t="shared" si="105"/>
        <v>1+0.00139112999013711i</v>
      </c>
      <c r="U95" s="4">
        <f t="shared" si="119"/>
        <v>1.0000009676208566</v>
      </c>
      <c r="V95" s="4">
        <f t="shared" si="120"/>
        <v>1.3911290927467893E-3</v>
      </c>
      <c r="W95" t="str">
        <f t="shared" si="106"/>
        <v>1-0.00080933426952791i</v>
      </c>
      <c r="X95" s="4">
        <f t="shared" si="121"/>
        <v>1.0000003275109262</v>
      </c>
      <c r="Y95" s="4">
        <f t="shared" si="122"/>
        <v>-8.0933409281740631E-4</v>
      </c>
      <c r="Z95" t="str">
        <f t="shared" si="107"/>
        <v>0.999999996532631+0.000541758449806437i</v>
      </c>
      <c r="AA95" s="4">
        <f t="shared" si="123"/>
        <v>1.0000001432837298</v>
      </c>
      <c r="AB95" s="4">
        <f t="shared" si="124"/>
        <v>5.417583986824867E-4</v>
      </c>
      <c r="AC95" s="47" t="str">
        <f t="shared" si="125"/>
        <v>19.463606922207-1.74230903559678i</v>
      </c>
      <c r="AD95" s="20">
        <f t="shared" si="126"/>
        <v>25.819128517467874</v>
      </c>
      <c r="AE95" s="43">
        <f t="shared" si="127"/>
        <v>-5.1152690443782598</v>
      </c>
      <c r="AF95" t="str">
        <f t="shared" si="108"/>
        <v>72.2956529813786</v>
      </c>
      <c r="AG95" t="str">
        <f t="shared" si="109"/>
        <v>1+0.0730343244821986i</v>
      </c>
      <c r="AH95">
        <f t="shared" si="128"/>
        <v>1.0026634592686476</v>
      </c>
      <c r="AI95">
        <f t="shared" si="129"/>
        <v>7.2904883160809231E-2</v>
      </c>
      <c r="AJ95" t="str">
        <f t="shared" si="110"/>
        <v>1+0.00139112999013711i</v>
      </c>
      <c r="AK95">
        <f t="shared" si="130"/>
        <v>1.0000009676208566</v>
      </c>
      <c r="AL95">
        <f t="shared" si="131"/>
        <v>1.3911290927467893E-3</v>
      </c>
      <c r="AM95" t="str">
        <f t="shared" si="111"/>
        <v>1-0.000179116465565517i</v>
      </c>
      <c r="AN95">
        <f t="shared" si="132"/>
        <v>1.000000016041354</v>
      </c>
      <c r="AO95">
        <f t="shared" si="133"/>
        <v>-1.7911646365000326E-4</v>
      </c>
      <c r="AP95" s="41" t="str">
        <f t="shared" si="134"/>
        <v>71.9184565547667-5.16489258309857i</v>
      </c>
      <c r="AQ95">
        <f t="shared" si="135"/>
        <v>37.159148478378626</v>
      </c>
      <c r="AR95" s="43">
        <f t="shared" si="136"/>
        <v>-4.1076989026449544</v>
      </c>
      <c r="AS95" t="str">
        <f t="shared" si="112"/>
        <v>-0.0000166666666666667</v>
      </c>
      <c r="AT95" t="str">
        <f t="shared" si="113"/>
        <v>1.25793669320909E-06i</v>
      </c>
      <c r="AU95">
        <f t="shared" si="137"/>
        <v>1.2579366932090899E-6</v>
      </c>
      <c r="AV95">
        <f t="shared" si="138"/>
        <v>1.5707963267948966</v>
      </c>
      <c r="AW95" t="str">
        <f t="shared" si="114"/>
        <v>1+0.00125684851267864i</v>
      </c>
      <c r="AX95">
        <f t="shared" si="139"/>
        <v>1.0000007898337799</v>
      </c>
      <c r="AY95">
        <f t="shared" si="140"/>
        <v>1.2568478508780648E-3</v>
      </c>
      <c r="AZ95" t="str">
        <f t="shared" si="115"/>
        <v>1+0.0427328494310736i</v>
      </c>
      <c r="BA95">
        <f t="shared" si="141"/>
        <v>1.0009126317618831</v>
      </c>
      <c r="BB95">
        <f t="shared" si="142"/>
        <v>4.2706866459123839E-2</v>
      </c>
      <c r="BC95" s="41" t="str">
        <f t="shared" si="143"/>
        <v>-0.549523353388731+13.2499000726938i</v>
      </c>
      <c r="BD95">
        <f t="shared" si="144"/>
        <v>22.451715827652055</v>
      </c>
      <c r="BE95" s="43">
        <f t="shared" si="145"/>
        <v>92.374911126991208</v>
      </c>
      <c r="BF95" s="41" t="str">
        <f t="shared" si="146"/>
        <v>12.3897140724775+258.848286277315i</v>
      </c>
      <c r="BG95" s="20">
        <f t="shared" si="147"/>
        <v>48.27084434511994</v>
      </c>
      <c r="BH95" s="43">
        <f t="shared" si="148"/>
        <v>87.259642082612956</v>
      </c>
      <c r="BI95" s="41" t="str">
        <f t="shared" si="101"/>
        <v>28.9134391957362+955.750591825186i</v>
      </c>
      <c r="BJ95" s="20">
        <f t="shared" si="149"/>
        <v>59.610864306030678</v>
      </c>
      <c r="BK95" s="43">
        <f t="shared" si="102"/>
        <v>88.267212224346267</v>
      </c>
      <c r="BL95">
        <f t="shared" si="150"/>
        <v>48.27084434511994</v>
      </c>
      <c r="BM95" s="43">
        <f t="shared" si="151"/>
        <v>87.259642082612956</v>
      </c>
    </row>
    <row r="96" spans="14:65" x14ac:dyDescent="0.25">
      <c r="N96" s="9">
        <v>78</v>
      </c>
      <c r="O96" s="34">
        <f t="shared" si="116"/>
        <v>60.255958607435822</v>
      </c>
      <c r="P96" s="33" t="str">
        <f t="shared" si="103"/>
        <v>19.6196196196196</v>
      </c>
      <c r="Q96" s="4" t="str">
        <f t="shared" si="104"/>
        <v>1+0.0916426453826585i</v>
      </c>
      <c r="R96" s="4">
        <f t="shared" si="117"/>
        <v>1.0041904074689878</v>
      </c>
      <c r="S96" s="4">
        <f t="shared" si="118"/>
        <v>9.1387380687842593E-2</v>
      </c>
      <c r="T96" s="4" t="str">
        <f t="shared" si="105"/>
        <v>1+0.0014235335702589i</v>
      </c>
      <c r="U96" s="4">
        <f t="shared" si="119"/>
        <v>1.0000010132233996</v>
      </c>
      <c r="V96" s="4">
        <f t="shared" si="120"/>
        <v>1.4235326086878997E-3</v>
      </c>
      <c r="W96" t="str">
        <f t="shared" si="106"/>
        <v>1-0.000828186086420573i</v>
      </c>
      <c r="X96" s="4">
        <f t="shared" si="121"/>
        <v>1.000000342946038</v>
      </c>
      <c r="Y96" s="4">
        <f t="shared" si="122"/>
        <v>-8.2818589707186043E-4</v>
      </c>
      <c r="Z96" t="str">
        <f t="shared" si="107"/>
        <v>0.999999996369219+0.000554377625195812i</v>
      </c>
      <c r="AA96" s="4">
        <f t="shared" si="123"/>
        <v>1.0000001500364832</v>
      </c>
      <c r="AB96" s="4">
        <f t="shared" si="124"/>
        <v>5.5437757041551267E-4</v>
      </c>
      <c r="AC96" s="47" t="str">
        <f t="shared" si="125"/>
        <v>19.4563155062873-1.78222442246005i</v>
      </c>
      <c r="AD96" s="20">
        <f t="shared" si="126"/>
        <v>25.817500769759182</v>
      </c>
      <c r="AE96" s="43">
        <f t="shared" si="127"/>
        <v>-5.2337638552876919</v>
      </c>
      <c r="AF96" t="str">
        <f t="shared" si="108"/>
        <v>72.2956529813786</v>
      </c>
      <c r="AG96" t="str">
        <f t="shared" si="109"/>
        <v>1+0.0747355124385925i</v>
      </c>
      <c r="AH96">
        <f t="shared" si="128"/>
        <v>1.0027888096800139</v>
      </c>
      <c r="AI96">
        <f t="shared" si="129"/>
        <v>7.4596834388116581E-2</v>
      </c>
      <c r="AJ96" t="str">
        <f t="shared" si="110"/>
        <v>1+0.0014235335702589i</v>
      </c>
      <c r="AK96">
        <f t="shared" si="130"/>
        <v>1.0000010132233996</v>
      </c>
      <c r="AL96">
        <f t="shared" si="131"/>
        <v>1.4235326086878997E-3</v>
      </c>
      <c r="AM96" t="str">
        <f t="shared" si="111"/>
        <v>1-0.00018328862401529i</v>
      </c>
      <c r="AN96">
        <f t="shared" si="132"/>
        <v>1.0000000167973597</v>
      </c>
      <c r="AO96">
        <f t="shared" si="133"/>
        <v>-1.8328862196278006E-4</v>
      </c>
      <c r="AP96" s="41" t="str">
        <f t="shared" si="134"/>
        <v>71.9007785733914-5.28387721317064i</v>
      </c>
      <c r="AQ96">
        <f t="shared" si="135"/>
        <v>37.15806306129349</v>
      </c>
      <c r="AR96" s="43">
        <f t="shared" si="136"/>
        <v>-4.2030230294696143</v>
      </c>
      <c r="AS96" t="str">
        <f t="shared" si="112"/>
        <v>-0.0000166666666666667</v>
      </c>
      <c r="AT96" t="str">
        <f t="shared" si="113"/>
        <v>1.28723780289369E-06i</v>
      </c>
      <c r="AU96">
        <f t="shared" si="137"/>
        <v>1.2872378028936899E-6</v>
      </c>
      <c r="AV96">
        <f t="shared" si="138"/>
        <v>1.5707963267948966</v>
      </c>
      <c r="AW96" t="str">
        <f t="shared" si="114"/>
        <v>1+0.00128612427538254i</v>
      </c>
      <c r="AX96">
        <f t="shared" si="139"/>
        <v>1.0000008270574838</v>
      </c>
      <c r="AY96">
        <f t="shared" si="140"/>
        <v>1.2861235662504791E-3</v>
      </c>
      <c r="AZ96" t="str">
        <f t="shared" si="115"/>
        <v>1+0.0437282253630062i</v>
      </c>
      <c r="BA96">
        <f t="shared" si="141"/>
        <v>1.0009556222397664</v>
      </c>
      <c r="BB96">
        <f t="shared" si="142"/>
        <v>4.3700385542327191E-2</v>
      </c>
      <c r="BC96" s="41" t="str">
        <f t="shared" si="143"/>
        <v>-0.549523312478176+12.9483273341583i</v>
      </c>
      <c r="BD96">
        <f t="shared" si="144"/>
        <v>22.252088566390398</v>
      </c>
      <c r="BE96" s="43">
        <f t="shared" si="145"/>
        <v>92.430158202391411</v>
      </c>
      <c r="BF96" s="41" t="str">
        <f t="shared" si="146"/>
        <v>12.3851262593085+252.906115760278i</v>
      </c>
      <c r="BG96" s="20">
        <f t="shared" si="147"/>
        <v>48.069589336149591</v>
      </c>
      <c r="BH96" s="43">
        <f t="shared" si="148"/>
        <v>87.19639434710372</v>
      </c>
      <c r="BI96" s="41" t="str">
        <f t="shared" si="101"/>
        <v>28.9062177382237+933.898430258017i</v>
      </c>
      <c r="BJ96" s="20">
        <f t="shared" si="149"/>
        <v>59.410151627683888</v>
      </c>
      <c r="BK96" s="43">
        <f t="shared" si="102"/>
        <v>88.227135172921805</v>
      </c>
      <c r="BL96">
        <f t="shared" si="150"/>
        <v>48.069589336149591</v>
      </c>
      <c r="BM96" s="43">
        <f t="shared" si="151"/>
        <v>87.19639434710372</v>
      </c>
    </row>
    <row r="97" spans="14:65" x14ac:dyDescent="0.25">
      <c r="N97" s="9">
        <v>79</v>
      </c>
      <c r="O97" s="34">
        <f t="shared" si="116"/>
        <v>61.659500186148257</v>
      </c>
      <c r="P97" s="33" t="str">
        <f t="shared" si="103"/>
        <v>19.6196196196196</v>
      </c>
      <c r="Q97" s="4" t="str">
        <f t="shared" si="104"/>
        <v>1+0.0937772768141448i</v>
      </c>
      <c r="R97" s="4">
        <f t="shared" si="117"/>
        <v>1.0043874639035857</v>
      </c>
      <c r="S97" s="4">
        <f t="shared" si="118"/>
        <v>9.3503820255272513E-2</v>
      </c>
      <c r="T97" s="4" t="str">
        <f t="shared" si="105"/>
        <v>1+0.00145669192672234i</v>
      </c>
      <c r="U97" s="4">
        <f t="shared" si="119"/>
        <v>1.0000010609751218</v>
      </c>
      <c r="V97" s="4">
        <f t="shared" si="120"/>
        <v>1.4566908963805087E-3</v>
      </c>
      <c r="W97" t="str">
        <f t="shared" si="106"/>
        <v>1-0.000847477018538597i</v>
      </c>
      <c r="X97" s="4">
        <f t="shared" si="121"/>
        <v>1.000000359108584</v>
      </c>
      <c r="Y97" s="4">
        <f t="shared" si="122"/>
        <v>-8.4747681564779995E-4</v>
      </c>
      <c r="Z97" t="str">
        <f t="shared" si="107"/>
        <v>0.999999996198106+0.000567290738940121i</v>
      </c>
      <c r="AA97" s="4">
        <f t="shared" si="123"/>
        <v>1.000000157107485</v>
      </c>
      <c r="AB97" s="4">
        <f t="shared" si="124"/>
        <v>5.6729068024197313E-4</v>
      </c>
      <c r="AC97" s="47" t="str">
        <f t="shared" si="125"/>
        <v>19.448686312957-1.82302231783227i</v>
      </c>
      <c r="AD97" s="20">
        <f t="shared" si="126"/>
        <v>25.815796962680739</v>
      </c>
      <c r="AE97" s="43">
        <f t="shared" si="127"/>
        <v>-5.3549722350660343</v>
      </c>
      <c r="AF97" t="str">
        <f t="shared" si="108"/>
        <v>72.2956529813786</v>
      </c>
      <c r="AG97" t="str">
        <f t="shared" si="109"/>
        <v>1+0.0764763261529229i</v>
      </c>
      <c r="AH97">
        <f t="shared" si="128"/>
        <v>1.0029200508823464</v>
      </c>
      <c r="AI97">
        <f t="shared" si="129"/>
        <v>7.6327753301317067E-2</v>
      </c>
      <c r="AJ97" t="str">
        <f t="shared" si="110"/>
        <v>1+0.00145669192672234i</v>
      </c>
      <c r="AK97">
        <f t="shared" si="130"/>
        <v>1.0000010609751218</v>
      </c>
      <c r="AL97">
        <f t="shared" si="131"/>
        <v>1.4566908963805087E-3</v>
      </c>
      <c r="AM97" t="str">
        <f t="shared" si="111"/>
        <v>1-0.000187557964519628i</v>
      </c>
      <c r="AN97">
        <f t="shared" si="132"/>
        <v>1.0000000175889949</v>
      </c>
      <c r="AO97">
        <f t="shared" si="133"/>
        <v>-1.8755796232032397E-4</v>
      </c>
      <c r="AP97" s="41" t="str">
        <f t="shared" si="134"/>
        <v>71.882276925147-5.40553958622398i</v>
      </c>
      <c r="AQ97">
        <f t="shared" si="135"/>
        <v>37.156926780970757</v>
      </c>
      <c r="AR97" s="43">
        <f t="shared" si="136"/>
        <v>-4.3005421631185037</v>
      </c>
      <c r="AS97" t="str">
        <f t="shared" si="112"/>
        <v>-0.0000166666666666667</v>
      </c>
      <c r="AT97" t="str">
        <f t="shared" si="113"/>
        <v>1.31722142309999E-06i</v>
      </c>
      <c r="AU97">
        <f t="shared" si="137"/>
        <v>1.3172214230999901E-6</v>
      </c>
      <c r="AV97">
        <f t="shared" si="138"/>
        <v>1.5707963267948966</v>
      </c>
      <c r="AW97" t="str">
        <f t="shared" si="114"/>
        <v>1+0.00131608195820112i</v>
      </c>
      <c r="AX97">
        <f t="shared" si="139"/>
        <v>1.0000008660354853</v>
      </c>
      <c r="AY97">
        <f t="shared" si="140"/>
        <v>1.3160811983524623E-3</v>
      </c>
      <c r="AZ97" t="str">
        <f t="shared" si="115"/>
        <v>1+0.0447467865788379i</v>
      </c>
      <c r="BA97">
        <f t="shared" si="141"/>
        <v>1.0010006368175457</v>
      </c>
      <c r="BB97">
        <f t="shared" si="142"/>
        <v>4.4716957283838239E-2</v>
      </c>
      <c r="BC97" s="41" t="str">
        <f t="shared" si="143"/>
        <v>-0.549523269639573+12.6536199701619i</v>
      </c>
      <c r="BD97">
        <f t="shared" si="144"/>
        <v>22.052478837420104</v>
      </c>
      <c r="BE97" s="43">
        <f t="shared" si="145"/>
        <v>92.486687026868594</v>
      </c>
      <c r="BF97" s="41" t="str">
        <f t="shared" si="146"/>
        <v>12.3803259140827+247.098078707768i</v>
      </c>
      <c r="BG97" s="20">
        <f t="shared" si="147"/>
        <v>47.868275800100832</v>
      </c>
      <c r="BH97" s="43">
        <f t="shared" si="148"/>
        <v>87.131714791802551</v>
      </c>
      <c r="BI97" s="41" t="str">
        <f t="shared" si="101"/>
        <v>28.8986598127004+912.541484588336i</v>
      </c>
      <c r="BJ97" s="20">
        <f t="shared" si="149"/>
        <v>59.209405618390861</v>
      </c>
      <c r="BK97" s="43">
        <f t="shared" si="102"/>
        <v>88.186144863750101</v>
      </c>
      <c r="BL97">
        <f t="shared" si="150"/>
        <v>47.868275800100832</v>
      </c>
      <c r="BM97" s="43">
        <f t="shared" si="151"/>
        <v>87.131714791802551</v>
      </c>
    </row>
    <row r="98" spans="14:65" x14ac:dyDescent="0.25">
      <c r="N98" s="9">
        <v>80</v>
      </c>
      <c r="O98" s="34">
        <f t="shared" si="116"/>
        <v>63.095734448019364</v>
      </c>
      <c r="P98" s="33" t="str">
        <f t="shared" si="103"/>
        <v>19.6196196196196</v>
      </c>
      <c r="Q98" s="4" t="str">
        <f t="shared" si="104"/>
        <v>1+0.0959616301990867i</v>
      </c>
      <c r="R98" s="4">
        <f t="shared" si="117"/>
        <v>1.0045937658926947</v>
      </c>
      <c r="S98" s="4">
        <f t="shared" si="118"/>
        <v>9.5668688534061921E-2</v>
      </c>
      <c r="T98" s="4" t="str">
        <f t="shared" si="105"/>
        <v>1+0.00149062264052692i</v>
      </c>
      <c r="U98" s="4">
        <f t="shared" si="119"/>
        <v>1.000001110977311</v>
      </c>
      <c r="V98" s="4">
        <f t="shared" si="120"/>
        <v>1.4906215364958232E-3</v>
      </c>
      <c r="W98" t="str">
        <f t="shared" si="106"/>
        <v>1-0.000867217294189531i</v>
      </c>
      <c r="X98" s="4">
        <f t="shared" si="121"/>
        <v>1.0000003760328471</v>
      </c>
      <c r="Y98" s="4">
        <f t="shared" si="122"/>
        <v>-8.6721707678812955E-4</v>
      </c>
      <c r="Z98" t="str">
        <f t="shared" si="107"/>
        <v>0.999999996018928+0.000580504637743196i</v>
      </c>
      <c r="AA98" s="4">
        <f t="shared" si="123"/>
        <v>1.0000001645117316</v>
      </c>
      <c r="AB98" s="4">
        <f t="shared" si="124"/>
        <v>5.8050457484699794E-4</v>
      </c>
      <c r="AC98" s="47" t="str">
        <f t="shared" si="125"/>
        <v>19.4407039807149-1.86471996567172i</v>
      </c>
      <c r="AD98" s="20">
        <f t="shared" si="126"/>
        <v>25.814013574200246</v>
      </c>
      <c r="AE98" s="43">
        <f t="shared" si="127"/>
        <v>-5.4789541022092374</v>
      </c>
      <c r="AF98" t="str">
        <f t="shared" si="108"/>
        <v>72.2956529813786</v>
      </c>
      <c r="AG98" t="str">
        <f t="shared" si="109"/>
        <v>1+0.0782576886276632i</v>
      </c>
      <c r="AH98">
        <f t="shared" si="128"/>
        <v>1.0030574588872485</v>
      </c>
      <c r="AI98">
        <f t="shared" si="129"/>
        <v>7.8098516145540572E-2</v>
      </c>
      <c r="AJ98" t="str">
        <f t="shared" si="110"/>
        <v>1+0.00149062264052692i</v>
      </c>
      <c r="AK98">
        <f t="shared" si="130"/>
        <v>1.000001110977311</v>
      </c>
      <c r="AL98">
        <f t="shared" si="131"/>
        <v>1.4906215364958232E-3</v>
      </c>
      <c r="AM98" t="str">
        <f t="shared" si="111"/>
        <v>1-0.000191926750739378i</v>
      </c>
      <c r="AN98">
        <f t="shared" si="132"/>
        <v>1.0000000184179387</v>
      </c>
      <c r="AO98">
        <f t="shared" si="133"/>
        <v>-1.9192674838278129E-4</v>
      </c>
      <c r="AP98" s="41" t="str">
        <f t="shared" si="134"/>
        <v>71.862913697372-5.52993545662915i</v>
      </c>
      <c r="AQ98">
        <f t="shared" si="135"/>
        <v>37.155737268197747</v>
      </c>
      <c r="AR98" s="43">
        <f t="shared" si="136"/>
        <v>-4.4003056311392799</v>
      </c>
      <c r="AS98" t="str">
        <f t="shared" si="112"/>
        <v>-0.0000166666666666667</v>
      </c>
      <c r="AT98" t="str">
        <f t="shared" si="113"/>
        <v>0.0000013479034515403i</v>
      </c>
      <c r="AU98">
        <f t="shared" si="137"/>
        <v>1.3479034515403E-6</v>
      </c>
      <c r="AV98">
        <f t="shared" si="138"/>
        <v>1.5707963267948966</v>
      </c>
      <c r="AW98" t="str">
        <f t="shared" si="114"/>
        <v>1+0.00134673744509433i</v>
      </c>
      <c r="AX98">
        <f t="shared" si="139"/>
        <v>1.0000009068504618</v>
      </c>
      <c r="AY98">
        <f t="shared" si="140"/>
        <v>1.3467366309018642E-3</v>
      </c>
      <c r="AZ98" t="str">
        <f t="shared" si="115"/>
        <v>1+0.0457890731332072i</v>
      </c>
      <c r="BA98">
        <f t="shared" si="141"/>
        <v>1.0010477706974819</v>
      </c>
      <c r="BB98">
        <f t="shared" si="142"/>
        <v>4.575711227431585E-2</v>
      </c>
      <c r="BC98" s="41" t="str">
        <f t="shared" si="143"/>
        <v>-0.549523224782056+12.3656217229587i</v>
      </c>
      <c r="BD98">
        <f t="shared" si="144"/>
        <v>21.852887463705741</v>
      </c>
      <c r="BE98" s="43">
        <f t="shared" si="145"/>
        <v>92.544527090958212</v>
      </c>
      <c r="BF98" s="41" t="str">
        <f t="shared" si="146"/>
        <v>12.3753033712292+241.421098382389i</v>
      </c>
      <c r="BG98" s="20">
        <f t="shared" si="147"/>
        <v>47.66690103790598</v>
      </c>
      <c r="BH98" s="43">
        <f t="shared" si="148"/>
        <v>87.065572988748983</v>
      </c>
      <c r="BI98" s="41" t="str">
        <f t="shared" si="101"/>
        <v>28.8907499318385+891.668434656293i</v>
      </c>
      <c r="BJ98" s="20">
        <f t="shared" si="149"/>
        <v>59.008624731903481</v>
      </c>
      <c r="BK98" s="43">
        <f t="shared" si="102"/>
        <v>88.144221459818951</v>
      </c>
      <c r="BL98">
        <f t="shared" si="150"/>
        <v>47.66690103790598</v>
      </c>
      <c r="BM98" s="43">
        <f t="shared" si="151"/>
        <v>87.065572988748983</v>
      </c>
    </row>
    <row r="99" spans="14:65" x14ac:dyDescent="0.25">
      <c r="N99" s="9">
        <v>81</v>
      </c>
      <c r="O99" s="34">
        <f t="shared" si="116"/>
        <v>64.565422903465588</v>
      </c>
      <c r="P99" s="33" t="str">
        <f t="shared" si="103"/>
        <v>19.6196196196196</v>
      </c>
      <c r="Q99" s="4" t="str">
        <f t="shared" si="104"/>
        <v>1+0.0981968637105625i</v>
      </c>
      <c r="R99" s="4">
        <f t="shared" si="117"/>
        <v>1.0048097451968661</v>
      </c>
      <c r="S99" s="4">
        <f t="shared" si="118"/>
        <v>9.7883052153380348E-2</v>
      </c>
      <c r="T99" s="4" t="str">
        <f t="shared" si="105"/>
        <v>1+0.00152534370218623i</v>
      </c>
      <c r="U99" s="4">
        <f t="shared" si="119"/>
        <v>1.0000011633360282</v>
      </c>
      <c r="V99" s="4">
        <f t="shared" si="120"/>
        <v>1.5253425191956705E-3</v>
      </c>
      <c r="W99" t="str">
        <f t="shared" si="106"/>
        <v>1-0.000887417379928824i</v>
      </c>
      <c r="X99" s="4">
        <f t="shared" si="121"/>
        <v>1.0000003937547255</v>
      </c>
      <c r="Y99" s="4">
        <f t="shared" si="122"/>
        <v>-8.8741714697903034E-4</v>
      </c>
      <c r="Z99" t="str">
        <f t="shared" si="107"/>
        <v>0.999999995831306+0.00059402632778909i</v>
      </c>
      <c r="AA99" s="4">
        <f t="shared" si="123"/>
        <v>1.0000001722649301</v>
      </c>
      <c r="AB99" s="4">
        <f t="shared" si="124"/>
        <v>5.9402626039460008E-4</v>
      </c>
      <c r="AC99" s="47" t="str">
        <f t="shared" si="125"/>
        <v>19.4323524767708-1.90733478266904i</v>
      </c>
      <c r="AD99" s="20">
        <f t="shared" si="126"/>
        <v>25.812146922247784</v>
      </c>
      <c r="AE99" s="43">
        <f t="shared" si="127"/>
        <v>-5.6057705404158593</v>
      </c>
      <c r="AF99" t="str">
        <f t="shared" si="108"/>
        <v>72.2956529813786</v>
      </c>
      <c r="AG99" t="str">
        <f t="shared" si="109"/>
        <v>1+0.080080544364777i</v>
      </c>
      <c r="AH99">
        <f t="shared" si="128"/>
        <v>1.0032013225598135</v>
      </c>
      <c r="AI99">
        <f t="shared" si="129"/>
        <v>7.9910017358617677E-2</v>
      </c>
      <c r="AJ99" t="str">
        <f t="shared" si="110"/>
        <v>1+0.00152534370218623i</v>
      </c>
      <c r="AK99">
        <f t="shared" si="130"/>
        <v>1.0000011633360282</v>
      </c>
      <c r="AL99">
        <f t="shared" si="131"/>
        <v>1.5253425191956705E-3</v>
      </c>
      <c r="AM99" t="str">
        <f t="shared" si="111"/>
        <v>1-0.00019639729906282i</v>
      </c>
      <c r="AN99">
        <f t="shared" si="132"/>
        <v>1.0000000192859493</v>
      </c>
      <c r="AO99">
        <f t="shared" si="133"/>
        <v>-1.9639729653768114E-4</v>
      </c>
      <c r="AP99" s="41" t="str">
        <f t="shared" si="134"/>
        <v>71.8426492768048-5.65712141470322i</v>
      </c>
      <c r="AQ99">
        <f t="shared" si="135"/>
        <v>37.15449204477116</v>
      </c>
      <c r="AR99" s="43">
        <f t="shared" si="136"/>
        <v>-4.5023637830035623</v>
      </c>
      <c r="AS99" t="str">
        <f t="shared" si="112"/>
        <v>-0.0000166666666666667</v>
      </c>
      <c r="AT99" t="str">
        <f t="shared" si="113"/>
        <v>1.37930015623223E-06i</v>
      </c>
      <c r="AU99">
        <f t="shared" si="137"/>
        <v>1.37930015623223E-6</v>
      </c>
      <c r="AV99">
        <f t="shared" si="138"/>
        <v>1.5707963267948966</v>
      </c>
      <c r="AW99" t="str">
        <f t="shared" si="114"/>
        <v>1+0.00137810699000712i</v>
      </c>
      <c r="AX99">
        <f t="shared" si="139"/>
        <v>1.0000009495889872</v>
      </c>
      <c r="AY99">
        <f t="shared" si="140"/>
        <v>1.3781061175842193E-3</v>
      </c>
      <c r="AZ99" t="str">
        <f t="shared" si="115"/>
        <v>1+0.0468556376602419i</v>
      </c>
      <c r="BA99">
        <f t="shared" si="141"/>
        <v>1.0010971235502317</v>
      </c>
      <c r="BB99">
        <f t="shared" si="142"/>
        <v>4.6821393009645072E-2</v>
      </c>
      <c r="BC99" s="41" t="str">
        <f t="shared" si="143"/>
        <v>-0.549523177810476+12.0841798920658i</v>
      </c>
      <c r="BD99">
        <f t="shared" si="144"/>
        <v>21.653315306679339</v>
      </c>
      <c r="BE99" s="43">
        <f t="shared" si="145"/>
        <v>92.603708546117232</v>
      </c>
      <c r="BF99" s="41" t="str">
        <f t="shared" si="146"/>
        <v>12.3700485427985+235.872167726249i</v>
      </c>
      <c r="BG99" s="20">
        <f t="shared" si="147"/>
        <v>47.465462228927102</v>
      </c>
      <c r="BH99" s="43">
        <f t="shared" si="148"/>
        <v>86.9979380057014</v>
      </c>
      <c r="BI99" s="41" t="str">
        <f t="shared" si="101"/>
        <v>28.8824719136182+871.268217120568i</v>
      </c>
      <c r="BJ99" s="20">
        <f t="shared" si="149"/>
        <v>58.807807351450506</v>
      </c>
      <c r="BK99" s="43">
        <f t="shared" si="102"/>
        <v>88.101344763113687</v>
      </c>
      <c r="BL99">
        <f t="shared" si="150"/>
        <v>47.465462228927102</v>
      </c>
      <c r="BM99" s="43">
        <f t="shared" si="151"/>
        <v>86.9979380057014</v>
      </c>
    </row>
    <row r="100" spans="14:65" x14ac:dyDescent="0.25">
      <c r="N100" s="9">
        <v>82</v>
      </c>
      <c r="O100" s="34">
        <f t="shared" si="116"/>
        <v>66.069344800759623</v>
      </c>
      <c r="P100" s="33" t="str">
        <f t="shared" si="103"/>
        <v>19.6196196196196</v>
      </c>
      <c r="Q100" s="4" t="str">
        <f t="shared" si="104"/>
        <v>1+0.100484162498967i</v>
      </c>
      <c r="R100" s="4">
        <f t="shared" si="117"/>
        <v>1.0050358535460906</v>
      </c>
      <c r="S100" s="4">
        <f t="shared" si="118"/>
        <v>0.10014799828696279</v>
      </c>
      <c r="T100" s="4" t="str">
        <f t="shared" si="105"/>
        <v>1+0.00156087352126675i</v>
      </c>
      <c r="U100" s="4">
        <f t="shared" si="119"/>
        <v>1.0000012181623328</v>
      </c>
      <c r="V100" s="4">
        <f t="shared" si="120"/>
        <v>1.560872253669611E-3</v>
      </c>
      <c r="W100" t="str">
        <f t="shared" si="106"/>
        <v>1-0.000908087986109314i</v>
      </c>
      <c r="X100" s="4">
        <f t="shared" si="121"/>
        <v>1.0000004123118102</v>
      </c>
      <c r="Y100" s="4">
        <f t="shared" si="122"/>
        <v>-9.0808773649911844E-4</v>
      </c>
      <c r="Z100" t="str">
        <f t="shared" si="107"/>
        <v>0.999999995634842+0.000607862978456847i</v>
      </c>
      <c r="AA100" s="4">
        <f t="shared" si="123"/>
        <v>1.0000001803835259</v>
      </c>
      <c r="AB100" s="4">
        <f t="shared" si="124"/>
        <v>6.0786290624235051E-4</v>
      </c>
      <c r="AC100" s="47" t="str">
        <f t="shared" si="125"/>
        <v>19.4236150703296-1.95088434684754i</v>
      </c>
      <c r="AD100" s="20">
        <f t="shared" si="126"/>
        <v>25.810193157735441</v>
      </c>
      <c r="AE100" s="43">
        <f t="shared" si="127"/>
        <v>-5.7354838098112575</v>
      </c>
      <c r="AF100" t="str">
        <f t="shared" si="108"/>
        <v>72.2956529813786</v>
      </c>
      <c r="AG100" t="str">
        <f t="shared" si="109"/>
        <v>1+0.0819458598665045i</v>
      </c>
      <c r="AH100">
        <f t="shared" si="128"/>
        <v>1.0033519442096381</v>
      </c>
      <c r="AI100">
        <f t="shared" si="129"/>
        <v>8.176316983986863E-2</v>
      </c>
      <c r="AJ100" t="str">
        <f t="shared" si="110"/>
        <v>1+0.00156087352126675i</v>
      </c>
      <c r="AK100">
        <f t="shared" si="130"/>
        <v>1.0000012181623328</v>
      </c>
      <c r="AL100">
        <f t="shared" si="131"/>
        <v>1.560872253669611E-3</v>
      </c>
      <c r="AM100" t="str">
        <f t="shared" si="111"/>
        <v>1-0.000200971979833852i</v>
      </c>
      <c r="AN100">
        <f t="shared" si="132"/>
        <v>1.0000000201948682</v>
      </c>
      <c r="AO100">
        <f t="shared" si="133"/>
        <v>-2.0097197712811696E-4</v>
      </c>
      <c r="AP100" s="41" t="str">
        <f t="shared" si="134"/>
        <v>71.821442277575-5.78715487436013i</v>
      </c>
      <c r="AQ100">
        <f t="shared" si="135"/>
        <v>37.153188518614229</v>
      </c>
      <c r="AR100" s="43">
        <f t="shared" si="136"/>
        <v>-4.6067680050313156</v>
      </c>
      <c r="AS100" t="str">
        <f t="shared" si="112"/>
        <v>-0.0000166666666666667</v>
      </c>
      <c r="AT100" t="str">
        <f t="shared" si="113"/>
        <v>1.41142818412419E-06i</v>
      </c>
      <c r="AU100">
        <f t="shared" si="137"/>
        <v>1.41142818412419E-6</v>
      </c>
      <c r="AV100">
        <f t="shared" si="138"/>
        <v>1.5707963267948966</v>
      </c>
      <c r="AW100" t="str">
        <f t="shared" si="114"/>
        <v>1+0.00141020722548741i</v>
      </c>
      <c r="AX100">
        <f t="shared" si="139"/>
        <v>1.0000009943417152</v>
      </c>
      <c r="AY100">
        <f t="shared" si="140"/>
        <v>1.4102062906694798E-3</v>
      </c>
      <c r="AZ100" t="str">
        <f t="shared" si="115"/>
        <v>1+0.0479470456665718i</v>
      </c>
      <c r="BA100">
        <f t="shared" si="141"/>
        <v>1.0011487997236737</v>
      </c>
      <c r="BB100">
        <f t="shared" si="142"/>
        <v>4.791035413604243E-2</v>
      </c>
      <c r="BC100" s="41" t="str">
        <f t="shared" si="143"/>
        <v>-0.549523128625205+11.8091452532985i</v>
      </c>
      <c r="BD100">
        <f t="shared" si="144"/>
        <v>21.453763268022055</v>
      </c>
      <c r="BE100" s="43">
        <f t="shared" si="145"/>
        <v>92.664262218274217</v>
      </c>
      <c r="BF100" s="41" t="str">
        <f t="shared" si="146"/>
        <v>12.3645509016498+230.448347779546i</v>
      </c>
      <c r="BG100" s="20">
        <f t="shared" si="147"/>
        <v>47.263956425757513</v>
      </c>
      <c r="BH100" s="43">
        <f t="shared" si="148"/>
        <v>86.928778408462961</v>
      </c>
      <c r="BI100" s="41" t="str">
        <f t="shared" si="101"/>
        <v>28.8738088519056+851.330019609674i</v>
      </c>
      <c r="BJ100" s="20">
        <f t="shared" si="149"/>
        <v>58.606951786636287</v>
      </c>
      <c r="BK100" s="43">
        <f t="shared" si="102"/>
        <v>88.057494213242904</v>
      </c>
      <c r="BL100">
        <f t="shared" si="150"/>
        <v>47.263956425757513</v>
      </c>
      <c r="BM100" s="43">
        <f t="shared" si="151"/>
        <v>86.928778408462961</v>
      </c>
    </row>
    <row r="101" spans="14:65" x14ac:dyDescent="0.25">
      <c r="N101" s="9">
        <v>83</v>
      </c>
      <c r="O101" s="34">
        <f t="shared" si="116"/>
        <v>67.60829753919819</v>
      </c>
      <c r="P101" s="33" t="str">
        <f t="shared" si="103"/>
        <v>19.6196196196196</v>
      </c>
      <c r="Q101" s="4" t="str">
        <f t="shared" si="104"/>
        <v>1+0.102824739320393i</v>
      </c>
      <c r="R101" s="4">
        <f t="shared" si="117"/>
        <v>1.0052725635449855</v>
      </c>
      <c r="S101" s="4">
        <f t="shared" si="118"/>
        <v>0.10246463483516836</v>
      </c>
      <c r="T101" s="4" t="str">
        <f t="shared" si="105"/>
        <v>1+0.00159723093614885i</v>
      </c>
      <c r="U101" s="4">
        <f t="shared" si="119"/>
        <v>1.0000012755725183</v>
      </c>
      <c r="V101" s="4">
        <f t="shared" si="120"/>
        <v>1.5972295778941378E-3</v>
      </c>
      <c r="W101" t="str">
        <f t="shared" si="106"/>
        <v>1-0.000929240072560004i</v>
      </c>
      <c r="X101" s="4">
        <f t="shared" si="121"/>
        <v>1.000000431743463</v>
      </c>
      <c r="Y101" s="4">
        <f t="shared" si="122"/>
        <v>-9.2923980509786695E-4</v>
      </c>
      <c r="Z101" t="str">
        <f t="shared" si="107"/>
        <v>0.999999995429118+0.000622021926121798i</v>
      </c>
      <c r="AA101" s="4">
        <f t="shared" si="123"/>
        <v>1.0000001888847385</v>
      </c>
      <c r="AB101" s="4">
        <f t="shared" si="124"/>
        <v>6.2202184874257183E-4</v>
      </c>
      <c r="AC101" s="47" t="str">
        <f t="shared" si="125"/>
        <v>19.414474305068-1.99538638490733i</v>
      </c>
      <c r="AD101" s="20">
        <f t="shared" si="126"/>
        <v>25.808148257300594</v>
      </c>
      <c r="AE101" s="43">
        <f t="shared" si="127"/>
        <v>-5.8681573573630361</v>
      </c>
      <c r="AF101" t="str">
        <f t="shared" si="108"/>
        <v>72.2956529813786</v>
      </c>
      <c r="AG101" t="str">
        <f t="shared" si="109"/>
        <v>1+0.0838546241478147i</v>
      </c>
      <c r="AH101">
        <f t="shared" si="128"/>
        <v>1.0035096402082897</v>
      </c>
      <c r="AI101">
        <f t="shared" si="129"/>
        <v>8.3658905214507376E-2</v>
      </c>
      <c r="AJ101" t="str">
        <f t="shared" si="110"/>
        <v>1+0.00159723093614885i</v>
      </c>
      <c r="AK101">
        <f t="shared" si="130"/>
        <v>1.0000012755725183</v>
      </c>
      <c r="AL101">
        <f t="shared" si="131"/>
        <v>1.5972295778941378E-3</v>
      </c>
      <c r="AM101" t="str">
        <f t="shared" si="111"/>
        <v>1-0.000205653218608769i</v>
      </c>
      <c r="AN101">
        <f t="shared" si="132"/>
        <v>1.0000000211466229</v>
      </c>
      <c r="AO101">
        <f t="shared" si="133"/>
        <v>-2.0565321570952167E-4</v>
      </c>
      <c r="AP101" s="41" t="str">
        <f t="shared" si="134"/>
        <v>71.79924946656-5.92009405834968i</v>
      </c>
      <c r="AQ101">
        <f t="shared" si="135"/>
        <v>37.151823978687624</v>
      </c>
      <c r="AR101" s="43">
        <f t="shared" si="136"/>
        <v>-4.7135707350529241</v>
      </c>
      <c r="AS101" t="str">
        <f t="shared" si="112"/>
        <v>-0.0000166666666666667</v>
      </c>
      <c r="AT101" t="str">
        <f t="shared" si="113"/>
        <v>1.44430456992183E-06i</v>
      </c>
      <c r="AU101">
        <f t="shared" si="137"/>
        <v>1.44430456992183E-6</v>
      </c>
      <c r="AV101">
        <f t="shared" si="138"/>
        <v>1.5707963267948966</v>
      </c>
      <c r="AW101" t="str">
        <f t="shared" si="114"/>
        <v>1+0.00144305517150495i</v>
      </c>
      <c r="AX101">
        <f t="shared" si="139"/>
        <v>1.000001041203572</v>
      </c>
      <c r="AY101">
        <f t="shared" si="140"/>
        <v>1.4430541698295474E-3</v>
      </c>
      <c r="AZ101" t="str">
        <f t="shared" si="115"/>
        <v>1+0.0490638758311682i</v>
      </c>
      <c r="BA101">
        <f t="shared" si="141"/>
        <v>1.0012029084614049</v>
      </c>
      <c r="BB101">
        <f t="shared" si="142"/>
        <v>4.9024562698600047E-2</v>
      </c>
      <c r="BC101" s="41" t="str">
        <f t="shared" si="143"/>
        <v>-0.549523077121913+11.5403719796505i</v>
      </c>
      <c r="BD101">
        <f t="shared" si="144"/>
        <v>21.254232291528229</v>
      </c>
      <c r="BE101" s="43">
        <f t="shared" si="145"/>
        <v>92.726219621564283</v>
      </c>
      <c r="BF101" s="41" t="str">
        <f t="shared" si="146"/>
        <v>12.3587994641354+225.146766136133i</v>
      </c>
      <c r="BG101" s="20">
        <f t="shared" si="147"/>
        <v>47.062380548828827</v>
      </c>
      <c r="BH101" s="43">
        <f t="shared" si="148"/>
        <v>86.858062264201251</v>
      </c>
      <c r="BI101" s="41" t="str">
        <f t="shared" si="101"/>
        <v>28.8647430859661+831.843275007621i</v>
      </c>
      <c r="BJ101" s="20">
        <f t="shared" si="149"/>
        <v>58.406056270215856</v>
      </c>
      <c r="BK101" s="43">
        <f t="shared" si="102"/>
        <v>88.012648886511371</v>
      </c>
      <c r="BL101">
        <f t="shared" si="150"/>
        <v>47.062380548828827</v>
      </c>
      <c r="BM101" s="43">
        <f t="shared" si="151"/>
        <v>86.858062264201251</v>
      </c>
    </row>
    <row r="102" spans="14:65" x14ac:dyDescent="0.25">
      <c r="N102" s="9">
        <v>84</v>
      </c>
      <c r="O102" s="34">
        <f t="shared" si="116"/>
        <v>69.183097091893657</v>
      </c>
      <c r="P102" s="33" t="str">
        <f t="shared" si="103"/>
        <v>19.6196196196196</v>
      </c>
      <c r="Q102" s="4" t="str">
        <f t="shared" si="104"/>
        <v>1+0.105219835179654i</v>
      </c>
      <c r="R102" s="4">
        <f t="shared" si="117"/>
        <v>1.0055203696172612</v>
      </c>
      <c r="S102" s="4">
        <f t="shared" si="118"/>
        <v>0.10483409059139924</v>
      </c>
      <c r="T102" s="4" t="str">
        <f t="shared" si="105"/>
        <v>1+0.00163443522401515i</v>
      </c>
      <c r="U102" s="4">
        <f t="shared" si="119"/>
        <v>1.0000013356883588</v>
      </c>
      <c r="V102" s="4">
        <f t="shared" si="120"/>
        <v>1.6344337686191096E-3</v>
      </c>
      <c r="W102" t="str">
        <f t="shared" si="106"/>
        <v>1-0.000950884854397111i</v>
      </c>
      <c r="X102" s="4">
        <f t="shared" si="121"/>
        <v>1.0000004520909009</v>
      </c>
      <c r="Y102" s="4">
        <f t="shared" si="122"/>
        <v>-9.5088456780627469E-4</v>
      </c>
      <c r="Z102" t="str">
        <f t="shared" si="107"/>
        <v>0.999999995213699+0.000636510678045413i</v>
      </c>
      <c r="AA102" s="4">
        <f t="shared" si="123"/>
        <v>1.0000001977866011</v>
      </c>
      <c r="AB102" s="4">
        <f t="shared" si="124"/>
        <v>6.3651059513207932E-4</v>
      </c>
      <c r="AC102" s="47" t="str">
        <f t="shared" si="125"/>
        <v>19.4049119708054-2.04085875822592i</v>
      </c>
      <c r="AD102" s="20">
        <f t="shared" si="126"/>
        <v>25.806008015764284</v>
      </c>
      <c r="AE102" s="43">
        <f t="shared" si="127"/>
        <v>-6.00385582639964</v>
      </c>
      <c r="AF102" t="str">
        <f t="shared" si="108"/>
        <v>72.2956529813786</v>
      </c>
      <c r="AG102" t="str">
        <f t="shared" si="109"/>
        <v>1+0.0858078492607953i</v>
      </c>
      <c r="AH102">
        <f t="shared" si="128"/>
        <v>1.0036747416343421</v>
      </c>
      <c r="AI102">
        <f t="shared" si="129"/>
        <v>8.5598174092849255E-2</v>
      </c>
      <c r="AJ102" t="str">
        <f t="shared" si="110"/>
        <v>1+0.00163443522401515i</v>
      </c>
      <c r="AK102">
        <f t="shared" si="130"/>
        <v>1.0000013356883588</v>
      </c>
      <c r="AL102">
        <f t="shared" si="131"/>
        <v>1.6344337686191096E-3</v>
      </c>
      <c r="AM102" t="str">
        <f t="shared" si="111"/>
        <v>1-0.000210443497442336i</v>
      </c>
      <c r="AN102">
        <f t="shared" si="132"/>
        <v>1.0000000221432326</v>
      </c>
      <c r="AO102">
        <f t="shared" si="133"/>
        <v>-2.1044349433573653E-4</v>
      </c>
      <c r="AP102" s="41" t="str">
        <f t="shared" si="134"/>
        <v>71.7760256860531-6.05599798089515i</v>
      </c>
      <c r="AQ102">
        <f t="shared" si="135"/>
        <v>37.150395589686724</v>
      </c>
      <c r="AR102" s="43">
        <f t="shared" si="136"/>
        <v>-4.8228254767622092</v>
      </c>
      <c r="AS102" t="str">
        <f t="shared" si="112"/>
        <v>-0.0000166666666666667</v>
      </c>
      <c r="AT102" t="str">
        <f t="shared" si="113"/>
        <v>1.47794674512008E-06i</v>
      </c>
      <c r="AU102">
        <f t="shared" si="137"/>
        <v>1.47794674512008E-6</v>
      </c>
      <c r="AV102">
        <f t="shared" si="138"/>
        <v>1.5707963267948966</v>
      </c>
      <c r="AW102" t="str">
        <f t="shared" si="114"/>
        <v>1+0.00147666824447552i</v>
      </c>
      <c r="AX102">
        <f t="shared" si="139"/>
        <v>1.0000010902739578</v>
      </c>
      <c r="AY102">
        <f t="shared" si="140"/>
        <v>1.4766671711610516E-3</v>
      </c>
      <c r="AZ102" t="str">
        <f t="shared" si="115"/>
        <v>1+0.0502067203121674i</v>
      </c>
      <c r="BA102">
        <f t="shared" si="141"/>
        <v>1.0012595641313515</v>
      </c>
      <c r="BB102">
        <f t="shared" si="142"/>
        <v>5.0164598393188133E-2</v>
      </c>
      <c r="BC102" s="41" t="str">
        <f t="shared" si="143"/>
        <v>-0.549523023191353+11.277717563974i</v>
      </c>
      <c r="BD102">
        <f t="shared" si="144"/>
        <v>21.054723365053075</v>
      </c>
      <c r="BE102" s="43">
        <f t="shared" si="145"/>
        <v>92.789612972245379</v>
      </c>
      <c r="BF102" s="41" t="str">
        <f t="shared" si="146"/>
        <v>12.3527827722756+219.964615435248i</v>
      </c>
      <c r="BG102" s="20">
        <f t="shared" si="147"/>
        <v>46.860731380817349</v>
      </c>
      <c r="BH102" s="43">
        <f t="shared" si="148"/>
        <v>86.785757145845736</v>
      </c>
      <c r="BI102" s="41" t="str">
        <f t="shared" si="101"/>
        <v>28.8552561688722+812.797655870752i</v>
      </c>
      <c r="BJ102" s="20">
        <f t="shared" si="149"/>
        <v>58.205118954739788</v>
      </c>
      <c r="BK102" s="43">
        <f t="shared" si="102"/>
        <v>87.966787495483175</v>
      </c>
      <c r="BL102">
        <f t="shared" si="150"/>
        <v>46.860731380817349</v>
      </c>
      <c r="BM102" s="43">
        <f t="shared" si="151"/>
        <v>86.785757145845736</v>
      </c>
    </row>
    <row r="103" spans="14:65" x14ac:dyDescent="0.25">
      <c r="N103" s="9">
        <v>85</v>
      </c>
      <c r="O103" s="34">
        <f t="shared" si="116"/>
        <v>70.794578438413865</v>
      </c>
      <c r="P103" s="33" t="str">
        <f t="shared" si="103"/>
        <v>19.6196196196196</v>
      </c>
      <c r="Q103" s="4" t="str">
        <f t="shared" si="104"/>
        <v>1+0.107670719988276i</v>
      </c>
      <c r="R103" s="4">
        <f t="shared" si="117"/>
        <v>1.0057797889910065</v>
      </c>
      <c r="S103" s="4">
        <f t="shared" si="118"/>
        <v>0.10725751539123553</v>
      </c>
      <c r="T103" s="4" t="str">
        <f t="shared" si="105"/>
        <v>1+0.00167250611107153i</v>
      </c>
      <c r="U103" s="4">
        <f t="shared" si="119"/>
        <v>1.0000013986373677</v>
      </c>
      <c r="V103" s="4">
        <f t="shared" si="120"/>
        <v>1.6725045515866939E-3</v>
      </c>
      <c r="W103" t="str">
        <f t="shared" si="106"/>
        <v>1-0.000973033807970471i</v>
      </c>
      <c r="X103" s="4">
        <f t="shared" si="121"/>
        <v>1.0000004733972836</v>
      </c>
      <c r="Y103" s="4">
        <f t="shared" si="122"/>
        <v>-9.7303350088286502E-4</v>
      </c>
      <c r="Z103" t="str">
        <f t="shared" si="107"/>
        <v>0.999999994988128+0.000651336916355743i</v>
      </c>
      <c r="AA103" s="4">
        <f t="shared" si="123"/>
        <v>1.0000002071079959</v>
      </c>
      <c r="AB103" s="4">
        <f t="shared" si="124"/>
        <v>6.5133682751250597E-4</v>
      </c>
      <c r="AC103" s="47" t="str">
        <f t="shared" si="125"/>
        <v>19.3949090743755-2.08731944742351i</v>
      </c>
      <c r="AD103" s="20">
        <f t="shared" si="126"/>
        <v>25.803768038296884</v>
      </c>
      <c r="AE103" s="43">
        <f t="shared" si="127"/>
        <v>-6.1426450651382689</v>
      </c>
      <c r="AF103" t="str">
        <f t="shared" si="108"/>
        <v>72.2956529813786</v>
      </c>
      <c r="AG103" t="str">
        <f t="shared" si="109"/>
        <v>1+0.0878065708312552i</v>
      </c>
      <c r="AH103">
        <f t="shared" si="128"/>
        <v>1.0038475949471335</v>
      </c>
      <c r="AI103">
        <f t="shared" si="129"/>
        <v>8.7581946323444224E-2</v>
      </c>
      <c r="AJ103" t="str">
        <f t="shared" si="110"/>
        <v>1+0.00167250611107153i</v>
      </c>
      <c r="AK103">
        <f t="shared" si="130"/>
        <v>1.0000013986373677</v>
      </c>
      <c r="AL103">
        <f t="shared" si="131"/>
        <v>1.6725045515866939E-3</v>
      </c>
      <c r="AM103" t="str">
        <f t="shared" si="111"/>
        <v>1-0.000215345356203795i</v>
      </c>
      <c r="AN103">
        <f t="shared" si="132"/>
        <v>1.0000000231868109</v>
      </c>
      <c r="AO103">
        <f t="shared" si="133"/>
        <v>-2.1534535287501369E-4</v>
      </c>
      <c r="AP103" s="41" t="str">
        <f t="shared" si="134"/>
        <v>71.7517237736923-6.19492642752737i</v>
      </c>
      <c r="AQ103">
        <f t="shared" si="135"/>
        <v>37.148900386517653</v>
      </c>
      <c r="AR103" s="43">
        <f t="shared" si="136"/>
        <v>-4.934586813709827</v>
      </c>
      <c r="AS103" t="str">
        <f t="shared" si="112"/>
        <v>-0.0000166666666666667</v>
      </c>
      <c r="AT103" t="str">
        <f t="shared" si="113"/>
        <v>1.51237254724553E-06i</v>
      </c>
      <c r="AU103">
        <f t="shared" si="137"/>
        <v>1.51237254724553E-6</v>
      </c>
      <c r="AV103">
        <f t="shared" si="138"/>
        <v>1.5707963267948966</v>
      </c>
      <c r="AW103" t="str">
        <f t="shared" si="114"/>
        <v>1+0.00151106426649532i</v>
      </c>
      <c r="AX103">
        <f t="shared" si="139"/>
        <v>1.0000011416569572</v>
      </c>
      <c r="AY103">
        <f t="shared" si="140"/>
        <v>1.5110631164182175E-3</v>
      </c>
      <c r="AZ103" t="str">
        <f t="shared" si="115"/>
        <v>1+0.0513761850608408i</v>
      </c>
      <c r="BA103">
        <f t="shared" si="141"/>
        <v>1.0013188864649492</v>
      </c>
      <c r="BB103">
        <f t="shared" si="142"/>
        <v>5.1331053821624235E-2</v>
      </c>
      <c r="BC103" s="41" t="str">
        <f t="shared" si="143"/>
        <v>-0.549522966719136+11.0210427434206i</v>
      </c>
      <c r="BD103">
        <f t="shared" si="144"/>
        <v>20.855237522549093</v>
      </c>
      <c r="BE103" s="43">
        <f t="shared" si="145"/>
        <v>92.854475202789288</v>
      </c>
      <c r="BF103" s="41" t="str">
        <f t="shared" si="146"/>
        <v>12.3464888754289+214.899151888687i</v>
      </c>
      <c r="BG103" s="20">
        <f t="shared" si="147"/>
        <v>46.659005560845969</v>
      </c>
      <c r="BH103" s="43">
        <f t="shared" si="148"/>
        <v>86.71183013765102</v>
      </c>
      <c r="BI103" s="41" t="str">
        <f t="shared" si="101"/>
        <v>28.8453288347936+794.183068973033i</v>
      </c>
      <c r="BJ103" s="20">
        <f t="shared" si="149"/>
        <v>58.004137909066742</v>
      </c>
      <c r="BK103" s="43">
        <f t="shared" si="102"/>
        <v>87.919888389079475</v>
      </c>
      <c r="BL103">
        <f t="shared" si="150"/>
        <v>46.659005560845969</v>
      </c>
      <c r="BM103" s="43">
        <f t="shared" si="151"/>
        <v>86.71183013765102</v>
      </c>
    </row>
    <row r="104" spans="14:65" x14ac:dyDescent="0.25">
      <c r="N104" s="9">
        <v>86</v>
      </c>
      <c r="O104" s="34">
        <f t="shared" si="116"/>
        <v>72.443596007499011</v>
      </c>
      <c r="P104" s="33" t="str">
        <f t="shared" si="103"/>
        <v>19.6196196196196</v>
      </c>
      <c r="Q104" s="4" t="str">
        <f t="shared" si="104"/>
        <v>1+0.110178693237826i</v>
      </c>
      <c r="R104" s="4">
        <f t="shared" si="117"/>
        <v>1.0060513627263743</v>
      </c>
      <c r="S104" s="4">
        <f t="shared" si="118"/>
        <v>0.10973608024256316</v>
      </c>
      <c r="T104" s="4" t="str">
        <f t="shared" si="105"/>
        <v>1+0.00171146378300622i</v>
      </c>
      <c r="U104" s="4">
        <f t="shared" si="119"/>
        <v>1.0000014645530679</v>
      </c>
      <c r="V104" s="4">
        <f t="shared" si="120"/>
        <v>1.7114621119882439E-3</v>
      </c>
      <c r="W104" t="str">
        <f t="shared" si="106"/>
        <v>1-0.000995698676948437i</v>
      </c>
      <c r="X104" s="4">
        <f t="shared" si="121"/>
        <v>1.0000004957078048</v>
      </c>
      <c r="Y104" s="4">
        <f t="shared" si="122"/>
        <v>-9.9569834789814751E-4</v>
      </c>
      <c r="Z104" t="str">
        <f t="shared" si="107"/>
        <v>0.999999994751925+0.000666508502120586i</v>
      </c>
      <c r="AA104" s="4">
        <f t="shared" si="123"/>
        <v>1.0000002168686932</v>
      </c>
      <c r="AB104" s="4">
        <f t="shared" si="124"/>
        <v>6.6650840692334399E-4</v>
      </c>
      <c r="AC104" s="47" t="str">
        <f t="shared" si="125"/>
        <v>19.3844458097066-2.13478653539672i</v>
      </c>
      <c r="AD104" s="20">
        <f t="shared" si="126"/>
        <v>25.801423732282306</v>
      </c>
      <c r="AE104" s="43">
        <f t="shared" si="127"/>
        <v>-6.2845921341237698</v>
      </c>
      <c r="AF104" t="str">
        <f t="shared" si="108"/>
        <v>72.2956529813786</v>
      </c>
      <c r="AG104" t="str">
        <f t="shared" si="109"/>
        <v>1+0.0898518486078269i</v>
      </c>
      <c r="AH104">
        <f t="shared" si="128"/>
        <v>1.0040285626904466</v>
      </c>
      <c r="AI104">
        <f t="shared" si="129"/>
        <v>8.9611211239196215E-2</v>
      </c>
      <c r="AJ104" t="str">
        <f t="shared" si="110"/>
        <v>1+0.00171146378300622i</v>
      </c>
      <c r="AK104">
        <f t="shared" si="130"/>
        <v>1.0000014645530679</v>
      </c>
      <c r="AL104">
        <f t="shared" si="131"/>
        <v>1.7114621119882439E-3</v>
      </c>
      <c r="AM104" t="str">
        <f t="shared" si="111"/>
        <v>1-0.000220361393923546i</v>
      </c>
      <c r="AN104">
        <f t="shared" si="132"/>
        <v>1.0000000242795717</v>
      </c>
      <c r="AO104">
        <f t="shared" si="133"/>
        <v>-2.2036139035669255E-4</v>
      </c>
      <c r="AP104" s="41" t="str">
        <f t="shared" si="134"/>
        <v>71.7262944796025-6.33693993190082i</v>
      </c>
      <c r="AQ104">
        <f t="shared" si="135"/>
        <v>37.147335268544211</v>
      </c>
      <c r="AR104" s="43">
        <f t="shared" si="136"/>
        <v>-5.0489104228828241</v>
      </c>
      <c r="AS104" t="str">
        <f t="shared" si="112"/>
        <v>-0.0000166666666666667</v>
      </c>
      <c r="AT104" t="str">
        <f t="shared" si="113"/>
        <v>1.54760022931414E-06i</v>
      </c>
      <c r="AU104">
        <f t="shared" si="137"/>
        <v>1.5476002293141401E-6</v>
      </c>
      <c r="AV104">
        <f t="shared" si="138"/>
        <v>1.5707963267948966</v>
      </c>
      <c r="AW104" t="str">
        <f t="shared" si="114"/>
        <v>1+0.00154626147479052i</v>
      </c>
      <c r="AX104">
        <f t="shared" si="139"/>
        <v>1.0000011954615595</v>
      </c>
      <c r="AY104">
        <f t="shared" si="140"/>
        <v>1.5462602424607817E-3</v>
      </c>
      <c r="AZ104" t="str">
        <f t="shared" si="115"/>
        <v>1+0.0525728901428774i</v>
      </c>
      <c r="BA104">
        <f t="shared" si="141"/>
        <v>1.0013810008073727</v>
      </c>
      <c r="BB104">
        <f t="shared" si="142"/>
        <v>5.2524534750003522E-2</v>
      </c>
      <c r="BC104" s="41" t="str">
        <f t="shared" si="143"/>
        <v>-0.549522907585478+10.7702114256025i</v>
      </c>
      <c r="BD104">
        <f t="shared" si="144"/>
        <v>20.655775846194739</v>
      </c>
      <c r="BE104" s="43">
        <f t="shared" si="145"/>
        <v>92.920839976141565</v>
      </c>
      <c r="BF104" s="41" t="str">
        <f t="shared" si="146"/>
        <v>12.339905311469+209.94769384268i</v>
      </c>
      <c r="BG104" s="20">
        <f t="shared" si="147"/>
        <v>46.457199578477038</v>
      </c>
      <c r="BH104" s="43">
        <f t="shared" si="148"/>
        <v>86.636247842017795</v>
      </c>
      <c r="BI104" s="41" t="str">
        <f t="shared" si="101"/>
        <v>28.8349409651516+775.989649976917i</v>
      </c>
      <c r="BJ104" s="20">
        <f t="shared" si="149"/>
        <v>57.803111114738954</v>
      </c>
      <c r="BK104" s="43">
        <f t="shared" si="102"/>
        <v>87.871929553258738</v>
      </c>
      <c r="BL104">
        <f t="shared" si="150"/>
        <v>46.457199578477038</v>
      </c>
      <c r="BM104" s="43">
        <f t="shared" si="151"/>
        <v>86.636247842017795</v>
      </c>
    </row>
    <row r="105" spans="14:65" x14ac:dyDescent="0.25">
      <c r="N105" s="9">
        <v>87</v>
      </c>
      <c r="O105" s="34">
        <f t="shared" si="116"/>
        <v>74.131024130091816</v>
      </c>
      <c r="P105" s="33" t="str">
        <f t="shared" si="103"/>
        <v>19.6196196196196</v>
      </c>
      <c r="Q105" s="4" t="str">
        <f t="shared" si="104"/>
        <v>1+0.112745084688918i</v>
      </c>
      <c r="R105" s="4">
        <f t="shared" si="117"/>
        <v>1.0063356567872923</v>
      </c>
      <c r="S105" s="4">
        <f t="shared" si="118"/>
        <v>0.11227097743482088</v>
      </c>
      <c r="T105" s="4" t="str">
        <f t="shared" si="105"/>
        <v>1+0.00175132889569258i</v>
      </c>
      <c r="U105" s="4">
        <f t="shared" si="119"/>
        <v>1.0000015335752745</v>
      </c>
      <c r="V105" s="4">
        <f t="shared" si="120"/>
        <v>1.7513271051647075E-3</v>
      </c>
      <c r="W105" t="str">
        <f t="shared" si="106"/>
        <v>1-0.00101889147854456i</v>
      </c>
      <c r="X105" s="4">
        <f t="shared" si="121"/>
        <v>1.0000005190697878</v>
      </c>
      <c r="Y105" s="4">
        <f t="shared" si="122"/>
        <v>-1.0188911259608323E-3</v>
      </c>
      <c r="Z105" t="str">
        <f t="shared" si="107"/>
        <v>0.999999994504591+0.000682033479515539i</v>
      </c>
      <c r="AA105" s="4">
        <f t="shared" si="123"/>
        <v>1.0000002270893988</v>
      </c>
      <c r="AB105" s="4">
        <f t="shared" si="124"/>
        <v>6.8203337750985754E-4</v>
      </c>
      <c r="AC105" s="47" t="str">
        <f t="shared" si="125"/>
        <v>19.3735015271271-2.18327818871891i</v>
      </c>
      <c r="AD105" s="20">
        <f t="shared" si="126"/>
        <v>25.798970298873776</v>
      </c>
      <c r="AE105" s="43">
        <f t="shared" si="127"/>
        <v>-6.4297653124701792</v>
      </c>
      <c r="AF105" t="str">
        <f t="shared" si="108"/>
        <v>72.2956529813786</v>
      </c>
      <c r="AG105" t="str">
        <f t="shared" si="109"/>
        <v>1+0.0919447670238606i</v>
      </c>
      <c r="AH105">
        <f t="shared" si="128"/>
        <v>1.0042180242273449</v>
      </c>
      <c r="AI105">
        <f t="shared" si="129"/>
        <v>9.168697789545513E-2</v>
      </c>
      <c r="AJ105" t="str">
        <f t="shared" si="110"/>
        <v>1+0.00175132889569258i</v>
      </c>
      <c r="AK105">
        <f t="shared" si="130"/>
        <v>1.0000015335752745</v>
      </c>
      <c r="AL105">
        <f t="shared" si="131"/>
        <v>1.7513271051647075E-3</v>
      </c>
      <c r="AM105" t="str">
        <f t="shared" si="111"/>
        <v>1-0.000225494270171184i</v>
      </c>
      <c r="AN105">
        <f t="shared" si="132"/>
        <v>1.0000000254238326</v>
      </c>
      <c r="AO105">
        <f t="shared" si="133"/>
        <v>-2.2549426634923167E-4</v>
      </c>
      <c r="AP105" s="41" t="str">
        <f t="shared" si="134"/>
        <v>71.699686380709-6.48209974936449i</v>
      </c>
      <c r="AQ105">
        <f t="shared" si="135"/>
        <v>37.145696993597809</v>
      </c>
      <c r="AR105" s="43">
        <f t="shared" si="136"/>
        <v>-5.1658530878122555</v>
      </c>
      <c r="AS105" t="str">
        <f t="shared" si="112"/>
        <v>-0.0000166666666666667</v>
      </c>
      <c r="AT105" t="str">
        <f t="shared" si="113"/>
        <v>1.58364846950925E-06i</v>
      </c>
      <c r="AU105">
        <f t="shared" si="137"/>
        <v>1.5836484695092501E-6</v>
      </c>
      <c r="AV105">
        <f t="shared" si="138"/>
        <v>1.5707963267948966</v>
      </c>
      <c r="AW105" t="str">
        <f t="shared" si="114"/>
        <v>1+0.00158227853138684i</v>
      </c>
      <c r="AX105">
        <f t="shared" si="139"/>
        <v>1.0000012518018919</v>
      </c>
      <c r="AY105">
        <f t="shared" si="140"/>
        <v>1.5822772109218243E-3</v>
      </c>
      <c r="AZ105" t="str">
        <f t="shared" si="115"/>
        <v>1+0.0537974700671525i</v>
      </c>
      <c r="BA105">
        <f t="shared" si="141"/>
        <v>1.0014460383793158</v>
      </c>
      <c r="BB105">
        <f t="shared" si="142"/>
        <v>5.3745660370073493E-2</v>
      </c>
      <c r="BC105" s="41" t="str">
        <f t="shared" si="143"/>
        <v>-0.549522845664951+10.5250906164343i</v>
      </c>
      <c r="BD105">
        <f t="shared" si="144"/>
        <v>20.456339468618836</v>
      </c>
      <c r="BE105" s="43">
        <f t="shared" si="145"/>
        <v>92.988741700143166</v>
      </c>
      <c r="BF105" s="41" t="str">
        <f t="shared" si="146"/>
        <v>12.3330190874699+205.107620373784i</v>
      </c>
      <c r="BG105" s="20">
        <f t="shared" si="147"/>
        <v>46.255309767492612</v>
      </c>
      <c r="BH105" s="43">
        <f t="shared" si="148"/>
        <v>86.558976387672999</v>
      </c>
      <c r="BI105" s="41" t="str">
        <f t="shared" si="101"/>
        <v>28.8240715536156+758.207758227037i</v>
      </c>
      <c r="BJ105" s="20">
        <f t="shared" si="149"/>
        <v>57.602036462216653</v>
      </c>
      <c r="BK105" s="43">
        <f t="shared" si="102"/>
        <v>87.822888612330914</v>
      </c>
      <c r="BL105">
        <f t="shared" si="150"/>
        <v>46.255309767492612</v>
      </c>
      <c r="BM105" s="43">
        <f t="shared" si="151"/>
        <v>86.558976387672999</v>
      </c>
    </row>
    <row r="106" spans="14:65" x14ac:dyDescent="0.25">
      <c r="N106" s="9">
        <v>88</v>
      </c>
      <c r="O106" s="34">
        <f t="shared" si="116"/>
        <v>75.857757502918361</v>
      </c>
      <c r="P106" s="33" t="str">
        <f t="shared" si="103"/>
        <v>19.6196196196196</v>
      </c>
      <c r="Q106" s="4" t="str">
        <f t="shared" si="104"/>
        <v>1+0.11537125507627i</v>
      </c>
      <c r="R106" s="4">
        <f t="shared" si="117"/>
        <v>1.0066332631588695</v>
      </c>
      <c r="S106" s="4">
        <f t="shared" si="118"/>
        <v>0.11486342062539419</v>
      </c>
      <c r="T106" s="4" t="str">
        <f t="shared" si="105"/>
        <v>1+0.00179212258614101i</v>
      </c>
      <c r="U106" s="4">
        <f t="shared" si="119"/>
        <v>1.0000016058503924</v>
      </c>
      <c r="V106" s="4">
        <f t="shared" si="120"/>
        <v>1.7921206675559946E-3</v>
      </c>
      <c r="W106" t="str">
        <f t="shared" si="106"/>
        <v>1-0.00104262450988922i</v>
      </c>
      <c r="X106" s="4">
        <f t="shared" si="121"/>
        <v>1.0000005435327866</v>
      </c>
      <c r="Y106" s="4">
        <f t="shared" si="122"/>
        <v>-1.0426241320889602E-3</v>
      </c>
      <c r="Z106" t="str">
        <f t="shared" si="107"/>
        <v>0.999999994245601+0.00069792008008911i</v>
      </c>
      <c r="AA106" s="4">
        <f t="shared" si="123"/>
        <v>1.0000002377917918</v>
      </c>
      <c r="AB106" s="4">
        <f t="shared" si="124"/>
        <v>6.9791997078805397E-4</v>
      </c>
      <c r="AC106" s="47" t="str">
        <f t="shared" si="125"/>
        <v>19.3620547019126-2.23281263730086i</v>
      </c>
      <c r="AD106" s="20">
        <f t="shared" si="126"/>
        <v>25.796402724232372</v>
      </c>
      <c r="AE106" s="43">
        <f t="shared" si="127"/>
        <v>-6.5782341027931643</v>
      </c>
      <c r="AF106" t="str">
        <f t="shared" si="108"/>
        <v>72.2956529813786</v>
      </c>
      <c r="AG106" t="str">
        <f t="shared" si="109"/>
        <v>1+0.0940864357724031i</v>
      </c>
      <c r="AH106">
        <f t="shared" si="128"/>
        <v>1.0044163765074494</v>
      </c>
      <c r="AI106">
        <f t="shared" si="129"/>
        <v>9.3810275298986737E-2</v>
      </c>
      <c r="AJ106" t="str">
        <f t="shared" si="110"/>
        <v>1+0.00179212258614101i</v>
      </c>
      <c r="AK106">
        <f t="shared" si="130"/>
        <v>1.0000016058503924</v>
      </c>
      <c r="AL106">
        <f t="shared" si="131"/>
        <v>1.7921206675559946E-3</v>
      </c>
      <c r="AM106" t="str">
        <f t="shared" si="111"/>
        <v>1-0.000230746706465635i</v>
      </c>
      <c r="AN106">
        <f t="shared" si="132"/>
        <v>1.0000000266220208</v>
      </c>
      <c r="AO106">
        <f t="shared" si="133"/>
        <v>-2.3074670237033931E-4</v>
      </c>
      <c r="AP106" s="41" t="str">
        <f t="shared" si="134"/>
        <v>71.6718457921883-6.63046782704579i</v>
      </c>
      <c r="AQ106">
        <f t="shared" si="135"/>
        <v>37.143982171742508</v>
      </c>
      <c r="AR106" s="43">
        <f t="shared" si="136"/>
        <v>-5.2854727111455464</v>
      </c>
      <c r="AS106" t="str">
        <f t="shared" si="112"/>
        <v>-0.0000166666666666667</v>
      </c>
      <c r="AT106" t="str">
        <f t="shared" si="113"/>
        <v>1.62053638108496E-06i</v>
      </c>
      <c r="AU106">
        <f t="shared" si="137"/>
        <v>1.6205363810849601E-6</v>
      </c>
      <c r="AV106">
        <f t="shared" si="138"/>
        <v>1.5707963267948966</v>
      </c>
      <c r="AW106" t="str">
        <f t="shared" si="114"/>
        <v>1+0.00161913453300444i</v>
      </c>
      <c r="AX106">
        <f t="shared" si="139"/>
        <v>1.0000013107974588</v>
      </c>
      <c r="AY106">
        <f t="shared" si="140"/>
        <v>1.619133118100784E-3</v>
      </c>
      <c r="AZ106" t="str">
        <f t="shared" si="115"/>
        <v>1+0.0550505741221508i</v>
      </c>
      <c r="BA106">
        <f t="shared" si="141"/>
        <v>1.001514136550842</v>
      </c>
      <c r="BB106">
        <f t="shared" si="142"/>
        <v>5.4995063563510881E-2</v>
      </c>
      <c r="BC106" s="41" t="str">
        <f t="shared" si="143"/>
        <v>-0.549522780826214+10.2855503496176i</v>
      </c>
      <c r="BD106">
        <f t="shared" si="144"/>
        <v>20.256929575225278</v>
      </c>
      <c r="BE106" s="43">
        <f t="shared" si="145"/>
        <v>93.058215542105827</v>
      </c>
      <c r="BF106" s="41" t="str">
        <f t="shared" si="146"/>
        <v>12.3258166599162+200.376369918086i</v>
      </c>
      <c r="BG106" s="20">
        <f t="shared" si="147"/>
        <v>46.053332299457665</v>
      </c>
      <c r="BH106" s="43">
        <f t="shared" si="148"/>
        <v>86.479981439312667</v>
      </c>
      <c r="BI106" s="41" t="str">
        <f t="shared" si="101"/>
        <v>28.8126986699282+740.827971664078i</v>
      </c>
      <c r="BJ106" s="20">
        <f t="shared" si="149"/>
        <v>57.400911746967786</v>
      </c>
      <c r="BK106" s="43">
        <f t="shared" si="102"/>
        <v>87.772742830960297</v>
      </c>
      <c r="BL106">
        <f t="shared" si="150"/>
        <v>46.053332299457665</v>
      </c>
      <c r="BM106" s="43">
        <f t="shared" si="151"/>
        <v>86.479981439312667</v>
      </c>
    </row>
    <row r="107" spans="14:65" x14ac:dyDescent="0.25">
      <c r="N107" s="9">
        <v>89</v>
      </c>
      <c r="O107" s="34">
        <f t="shared" si="116"/>
        <v>77.624711662869217</v>
      </c>
      <c r="P107" s="33" t="str">
        <f t="shared" si="103"/>
        <v>19.6196196196196</v>
      </c>
      <c r="Q107" s="4" t="str">
        <f t="shared" si="104"/>
        <v>1+0.118058596830183i</v>
      </c>
      <c r="R107" s="4">
        <f t="shared" si="117"/>
        <v>1.0069448010122062</v>
      </c>
      <c r="S107" s="4">
        <f t="shared" si="118"/>
        <v>0.11751464490104553</v>
      </c>
      <c r="T107" s="4" t="str">
        <f t="shared" si="105"/>
        <v>1+0.00183386648370616i</v>
      </c>
      <c r="U107" s="4">
        <f t="shared" si="119"/>
        <v>1.0000016815317263</v>
      </c>
      <c r="V107" s="4">
        <f t="shared" si="120"/>
        <v>1.8338644279054638E-3</v>
      </c>
      <c r="W107" t="str">
        <f t="shared" si="106"/>
        <v>1-0.0010669103545498i</v>
      </c>
      <c r="X107" s="4">
        <f t="shared" si="121"/>
        <v>1.0000005691486904</v>
      </c>
      <c r="Y107" s="4">
        <f t="shared" si="122"/>
        <v>-1.0669099497295407E-3</v>
      </c>
      <c r="Z107" t="str">
        <f t="shared" si="107"/>
        <v>0.999999993974404+0.000714176727127209i</v>
      </c>
      <c r="AA107" s="4">
        <f t="shared" si="123"/>
        <v>1.0000002489985718</v>
      </c>
      <c r="AB107" s="4">
        <f t="shared" si="124"/>
        <v>7.1417661000901928E-4</v>
      </c>
      <c r="AC107" s="47" t="str">
        <f t="shared" si="125"/>
        <v>19.3500829021003-2.28340815219969i</v>
      </c>
      <c r="AD107" s="20">
        <f t="shared" si="126"/>
        <v>25.793715770441182</v>
      </c>
      <c r="AE107" s="43">
        <f t="shared" si="127"/>
        <v>-6.730069234710828</v>
      </c>
      <c r="AF107" t="str">
        <f t="shared" si="108"/>
        <v>72.2956529813786</v>
      </c>
      <c r="AG107" t="str">
        <f t="shared" si="109"/>
        <v>1+0.0962779903945735i</v>
      </c>
      <c r="AH107">
        <f t="shared" si="128"/>
        <v>1.0046240348679787</v>
      </c>
      <c r="AI107">
        <f t="shared" si="129"/>
        <v>9.5982152626657699E-2</v>
      </c>
      <c r="AJ107" t="str">
        <f t="shared" si="110"/>
        <v>1+0.00183386648370616i</v>
      </c>
      <c r="AK107">
        <f t="shared" si="130"/>
        <v>1.0000016815317263</v>
      </c>
      <c r="AL107">
        <f t="shared" si="131"/>
        <v>1.8338644279054638E-3</v>
      </c>
      <c r="AM107" t="str">
        <f t="shared" si="111"/>
        <v>1-0.000236121487718149i</v>
      </c>
      <c r="AN107">
        <f t="shared" si="132"/>
        <v>1.0000000278766781</v>
      </c>
      <c r="AO107">
        <f t="shared" si="133"/>
        <v>-2.3612148332996061E-4</v>
      </c>
      <c r="AP107" s="41" t="str">
        <f t="shared" si="134"/>
        <v>71.6427166760256-6.78210677019286i</v>
      </c>
      <c r="AQ107">
        <f t="shared" si="135"/>
        <v>37.142187258786954</v>
      </c>
      <c r="AR107" s="43">
        <f t="shared" si="136"/>
        <v>-5.4078283266170137</v>
      </c>
      <c r="AS107" t="str">
        <f t="shared" si="112"/>
        <v>-0.0000166666666666667</v>
      </c>
      <c r="AT107" t="str">
        <f t="shared" si="113"/>
        <v>1.65828352250025E-06i</v>
      </c>
      <c r="AU107">
        <f t="shared" si="137"/>
        <v>1.65828352250025E-6</v>
      </c>
      <c r="AV107">
        <f t="shared" si="138"/>
        <v>1.5707963267948966</v>
      </c>
      <c r="AW107" t="str">
        <f t="shared" si="114"/>
        <v>1+0.00165684902118321i</v>
      </c>
      <c r="AX107">
        <f t="shared" si="139"/>
        <v>1.0000013725733976</v>
      </c>
      <c r="AY107">
        <f t="shared" si="140"/>
        <v>1.6568475050867399E-3</v>
      </c>
      <c r="AZ107" t="str">
        <f t="shared" si="115"/>
        <v>1+0.0563328667202292i</v>
      </c>
      <c r="BA107">
        <f t="shared" si="141"/>
        <v>1.0015854391278456</v>
      </c>
      <c r="BB107">
        <f t="shared" si="142"/>
        <v>5.6273391168954495E-2</v>
      </c>
      <c r="BC107" s="41" t="str">
        <f t="shared" si="143"/>
        <v>-0.549522712931739+10.0514636177318i</v>
      </c>
      <c r="BD107">
        <f t="shared" si="144"/>
        <v>20.057547406622867</v>
      </c>
      <c r="BE107" s="43">
        <f t="shared" si="145"/>
        <v>93.129297443531598</v>
      </c>
      <c r="BF107" s="41" t="str">
        <f t="shared" si="146"/>
        <v>12.3182839144512+195.751438933083i</v>
      </c>
      <c r="BG107" s="20">
        <f t="shared" si="147"/>
        <v>45.85126317706407</v>
      </c>
      <c r="BH107" s="43">
        <f t="shared" si="148"/>
        <v>86.399228208820773</v>
      </c>
      <c r="BI107" s="41" t="str">
        <f t="shared" si="101"/>
        <v>28.8007994225565+723.841081856288i</v>
      </c>
      <c r="BJ107" s="20">
        <f t="shared" si="149"/>
        <v>57.199734665409821</v>
      </c>
      <c r="BK107" s="43">
        <f t="shared" si="102"/>
        <v>87.721469116914605</v>
      </c>
      <c r="BL107">
        <f t="shared" si="150"/>
        <v>45.85126317706407</v>
      </c>
      <c r="BM107" s="43">
        <f t="shared" si="151"/>
        <v>86.399228208820773</v>
      </c>
    </row>
    <row r="108" spans="14:65" x14ac:dyDescent="0.25">
      <c r="N108" s="9">
        <v>90</v>
      </c>
      <c r="O108" s="34">
        <f t="shared" si="116"/>
        <v>79.432823472428197</v>
      </c>
      <c r="P108" s="33" t="str">
        <f t="shared" si="103"/>
        <v>19.6196196196196</v>
      </c>
      <c r="Q108" s="4" t="str">
        <f t="shared" si="104"/>
        <v>1+0.120808534814825i</v>
      </c>
      <c r="R108" s="4">
        <f t="shared" si="117"/>
        <v>1.0072709179183645</v>
      </c>
      <c r="S108" s="4">
        <f t="shared" si="118"/>
        <v>0.12022590681213854</v>
      </c>
      <c r="T108" s="4" t="str">
        <f t="shared" si="105"/>
        <v>1+0.00187658272155506i</v>
      </c>
      <c r="U108" s="4">
        <f t="shared" si="119"/>
        <v>1.0000017607798053</v>
      </c>
      <c r="V108" s="4">
        <f t="shared" si="120"/>
        <v>1.8765805187251356E-3</v>
      </c>
      <c r="W108" t="str">
        <f t="shared" si="106"/>
        <v>1-0.00109176188920258i</v>
      </c>
      <c r="X108" s="4">
        <f t="shared" si="121"/>
        <v>1.0000005959718339</v>
      </c>
      <c r="Y108" s="4">
        <f t="shared" si="122"/>
        <v>-1.0917614554298708E-3</v>
      </c>
      <c r="Z108" t="str">
        <f t="shared" si="107"/>
        <v>0.999999993690427+0.000730812040119278i</v>
      </c>
      <c r="AA108" s="4">
        <f t="shared" si="123"/>
        <v>1.0000002607335121</v>
      </c>
      <c r="AB108" s="4">
        <f t="shared" si="124"/>
        <v>7.3081191462487805E-4</v>
      </c>
      <c r="AC108" s="47" t="str">
        <f t="shared" si="125"/>
        <v>19.3375627556013-2.33508302145984i</v>
      </c>
      <c r="AD108" s="20">
        <f t="shared" si="126"/>
        <v>25.790903966088052</v>
      </c>
      <c r="AE108" s="43">
        <f t="shared" si="127"/>
        <v>-6.885342666786312</v>
      </c>
      <c r="AF108" t="str">
        <f t="shared" si="108"/>
        <v>72.2956529813786</v>
      </c>
      <c r="AG108" t="str">
        <f t="shared" si="109"/>
        <v>1+0.0985205928816408i</v>
      </c>
      <c r="AH108">
        <f t="shared" si="128"/>
        <v>1.0048414338699165</v>
      </c>
      <c r="AI108">
        <f t="shared" si="129"/>
        <v>9.8203679432573021E-2</v>
      </c>
      <c r="AJ108" t="str">
        <f t="shared" si="110"/>
        <v>1+0.00187658272155506i</v>
      </c>
      <c r="AK108">
        <f t="shared" si="130"/>
        <v>1.0000017607798053</v>
      </c>
      <c r="AL108">
        <f t="shared" si="131"/>
        <v>1.8765805187251356E-3</v>
      </c>
      <c r="AM108" t="str">
        <f t="shared" si="111"/>
        <v>1-0.000241621463708888i</v>
      </c>
      <c r="AN108">
        <f t="shared" si="132"/>
        <v>1.0000000291904654</v>
      </c>
      <c r="AO108">
        <f t="shared" si="133"/>
        <v>-2.4162145900685943E-4</v>
      </c>
      <c r="AP108" s="41" t="str">
        <f t="shared" si="134"/>
        <v>71.6122405466592-6.93707980450429i</v>
      </c>
      <c r="AQ108">
        <f t="shared" si="135"/>
        <v>37.140308549535206</v>
      </c>
      <c r="AR108" s="43">
        <f t="shared" si="136"/>
        <v>-5.5329801103435816</v>
      </c>
      <c r="AS108" t="str">
        <f t="shared" si="112"/>
        <v>-0.0000166666666666667</v>
      </c>
      <c r="AT108" t="str">
        <f t="shared" si="113"/>
        <v>1.69690990778915E-06i</v>
      </c>
      <c r="AU108">
        <f t="shared" si="137"/>
        <v>1.6969099077891499E-6</v>
      </c>
      <c r="AV108">
        <f t="shared" si="138"/>
        <v>1.5707963267948966</v>
      </c>
      <c r="AW108" t="str">
        <f t="shared" si="114"/>
        <v>1+0.00169544199264401i</v>
      </c>
      <c r="AX108">
        <f t="shared" si="139"/>
        <v>1.0000014372607424</v>
      </c>
      <c r="AY108">
        <f t="shared" si="140"/>
        <v>1.6954403681174997E-3</v>
      </c>
      <c r="AZ108" t="str">
        <f t="shared" si="115"/>
        <v>1+0.0576450277498962i</v>
      </c>
      <c r="BA108">
        <f t="shared" si="141"/>
        <v>1.0016600966516966</v>
      </c>
      <c r="BB108">
        <f t="shared" si="142"/>
        <v>5.7581304251616443E-2</v>
      </c>
      <c r="BC108" s="41" t="str">
        <f t="shared" si="143"/>
        <v>-0.549522641837513+9.8227063048924i</v>
      </c>
      <c r="BD108">
        <f t="shared" si="144"/>
        <v>19.858194261163113</v>
      </c>
      <c r="BE108" s="43">
        <f t="shared" si="145"/>
        <v>93.202024134967075</v>
      </c>
      <c r="BF108" s="41" t="str">
        <f t="shared" si="146"/>
        <v>12.310406145184+191.23038059156i</v>
      </c>
      <c r="BG108" s="20">
        <f t="shared" si="147"/>
        <v>45.649098227251173</v>
      </c>
      <c r="BH108" s="43">
        <f t="shared" si="148"/>
        <v>86.316681468180789</v>
      </c>
      <c r="BI108" s="41" t="str">
        <f t="shared" si="101"/>
        <v>28.7883499201424+707.238089145949i</v>
      </c>
      <c r="BJ108" s="20">
        <f t="shared" si="149"/>
        <v>56.998502810698312</v>
      </c>
      <c r="BK108" s="43">
        <f t="shared" si="102"/>
        <v>87.669044024623503</v>
      </c>
      <c r="BL108">
        <f t="shared" si="150"/>
        <v>45.649098227251173</v>
      </c>
      <c r="BM108" s="43">
        <f t="shared" si="151"/>
        <v>86.316681468180789</v>
      </c>
    </row>
    <row r="109" spans="14:65" x14ac:dyDescent="0.25">
      <c r="N109" s="9">
        <v>91</v>
      </c>
      <c r="O109" s="34">
        <f t="shared" si="116"/>
        <v>81.283051616409963</v>
      </c>
      <c r="P109" s="33" t="str">
        <f t="shared" si="103"/>
        <v>19.6196196196196</v>
      </c>
      <c r="Q109" s="4" t="str">
        <f t="shared" si="104"/>
        <v>1+0.123622527083716i</v>
      </c>
      <c r="R109" s="4">
        <f t="shared" si="117"/>
        <v>1.0076122911132852</v>
      </c>
      <c r="S109" s="4">
        <f t="shared" si="118"/>
        <v>0.12299848437727841</v>
      </c>
      <c r="T109" s="4" t="str">
        <f t="shared" si="105"/>
        <v>1+0.00192029394840244i</v>
      </c>
      <c r="U109" s="4">
        <f t="shared" si="119"/>
        <v>1.0000018437627245</v>
      </c>
      <c r="V109" s="4">
        <f t="shared" si="120"/>
        <v>1.920291588027885E-3</v>
      </c>
      <c r="W109" t="str">
        <f t="shared" si="106"/>
        <v>1-0.0011171922904602i</v>
      </c>
      <c r="X109" s="4">
        <f t="shared" si="121"/>
        <v>1.0000006240591122</v>
      </c>
      <c r="Y109" s="4">
        <f t="shared" si="122"/>
        <v>-1.1171918256643839E-3</v>
      </c>
      <c r="Z109" t="str">
        <f t="shared" si="107"/>
        <v>0.999999993393066+0.000747834839328458i</v>
      </c>
      <c r="AA109" s="4">
        <f t="shared" si="123"/>
        <v>1.0000002730215021</v>
      </c>
      <c r="AB109" s="4">
        <f t="shared" si="124"/>
        <v>7.4783470485878783E-4</v>
      </c>
      <c r="AC109" s="47" t="str">
        <f t="shared" si="125"/>
        <v>19.3244699166459-2.3878555238633i</v>
      </c>
      <c r="AD109" s="20">
        <f t="shared" si="126"/>
        <v>25.787961596508847</v>
      </c>
      <c r="AE109" s="43">
        <f t="shared" si="127"/>
        <v>-7.0441275867743105</v>
      </c>
      <c r="AF109" t="str">
        <f t="shared" si="108"/>
        <v>72.2956529813786</v>
      </c>
      <c r="AG109" t="str">
        <f t="shared" si="109"/>
        <v>1+0.100815432291128i</v>
      </c>
      <c r="AH109">
        <f t="shared" si="128"/>
        <v>1.0050690281707257</v>
      </c>
      <c r="AI109">
        <f t="shared" si="129"/>
        <v>0.10047594584232647</v>
      </c>
      <c r="AJ109" t="str">
        <f t="shared" si="110"/>
        <v>1+0.00192029394840244i</v>
      </c>
      <c r="AK109">
        <f t="shared" si="130"/>
        <v>1.0000018437627245</v>
      </c>
      <c r="AL109">
        <f t="shared" si="131"/>
        <v>1.920291588027885E-3</v>
      </c>
      <c r="AM109" t="str">
        <f t="shared" si="111"/>
        <v>1-0.000247249550597923i</v>
      </c>
      <c r="AN109">
        <f t="shared" si="132"/>
        <v>1.0000000305661696</v>
      </c>
      <c r="AO109">
        <f t="shared" si="133"/>
        <v>-2.4724954555960861E-4</v>
      </c>
      <c r="AP109" s="41" t="str">
        <f t="shared" si="134"/>
        <v>71.580356373698-7.09545073416125i</v>
      </c>
      <c r="AQ109">
        <f t="shared" si="135"/>
        <v>37.138342170767956</v>
      </c>
      <c r="AR109" s="43">
        <f t="shared" si="136"/>
        <v>-5.6609893913689611</v>
      </c>
      <c r="AS109" t="str">
        <f t="shared" si="112"/>
        <v>-0.0000166666666666667</v>
      </c>
      <c r="AT109" t="str">
        <f t="shared" si="113"/>
        <v>1.73643601717242E-06i</v>
      </c>
      <c r="AU109">
        <f t="shared" si="137"/>
        <v>1.73643601717242E-6</v>
      </c>
      <c r="AV109">
        <f t="shared" si="138"/>
        <v>1.5707963267948966</v>
      </c>
      <c r="AW109" t="str">
        <f t="shared" si="114"/>
        <v>1+0.00173493390989113i</v>
      </c>
      <c r="AX109">
        <f t="shared" si="139"/>
        <v>1.0000015049967033</v>
      </c>
      <c r="AY109">
        <f t="shared" si="140"/>
        <v>1.734932169179754E-3</v>
      </c>
      <c r="AZ109" t="str">
        <f t="shared" si="115"/>
        <v>1+0.0589877529362984i</v>
      </c>
      <c r="BA109">
        <f t="shared" si="141"/>
        <v>1.0017382667126546</v>
      </c>
      <c r="BB109">
        <f t="shared" si="142"/>
        <v>5.8919478375283607E-2</v>
      </c>
      <c r="BC109" s="41" t="str">
        <f t="shared" si="143"/>
        <v>-0.54952256739274+9.59915712094332i</v>
      </c>
      <c r="BD109">
        <f t="shared" si="144"/>
        <v>19.658871497592262</v>
      </c>
      <c r="BE109" s="43">
        <f t="shared" si="145"/>
        <v>93.276433150980608</v>
      </c>
      <c r="BF109" s="41" t="str">
        <f t="shared" si="146"/>
        <v>12.3021680335772+186.810803506863i</v>
      </c>
      <c r="BG109" s="20">
        <f t="shared" si="147"/>
        <v>45.446833094101116</v>
      </c>
      <c r="BH109" s="43">
        <f t="shared" si="148"/>
        <v>86.2323055642063</v>
      </c>
      <c r="BI109" s="41" t="str">
        <f t="shared" si="101"/>
        <v>28.7753252317647+691.010197908489i</v>
      </c>
      <c r="BJ109" s="20">
        <f t="shared" si="149"/>
        <v>56.797213668360229</v>
      </c>
      <c r="BK109" s="43">
        <f t="shared" si="102"/>
        <v>87.615443759611651</v>
      </c>
      <c r="BL109">
        <f t="shared" si="150"/>
        <v>45.446833094101116</v>
      </c>
      <c r="BM109" s="43">
        <f t="shared" si="151"/>
        <v>86.2323055642063</v>
      </c>
    </row>
    <row r="110" spans="14:65" x14ac:dyDescent="0.25">
      <c r="N110" s="9">
        <v>92</v>
      </c>
      <c r="O110" s="34">
        <f t="shared" si="116"/>
        <v>83.176377110267126</v>
      </c>
      <c r="P110" s="33" t="str">
        <f t="shared" si="103"/>
        <v>19.6196196196196</v>
      </c>
      <c r="Q110" s="4" t="str">
        <f t="shared" si="104"/>
        <v>1+0.126502065652804i</v>
      </c>
      <c r="R110" s="4">
        <f t="shared" si="117"/>
        <v>1.0079696288154849</v>
      </c>
      <c r="S110" s="4">
        <f t="shared" si="118"/>
        <v>0.12583367705582857</v>
      </c>
      <c r="T110" s="4" t="str">
        <f t="shared" si="105"/>
        <v>1+0.00196502334051936i</v>
      </c>
      <c r="U110" s="4">
        <f t="shared" si="119"/>
        <v>1.0000019306565007</v>
      </c>
      <c r="V110" s="4">
        <f t="shared" si="120"/>
        <v>1.9650208113327202E-3</v>
      </c>
      <c r="W110" t="str">
        <f t="shared" si="106"/>
        <v>1-0.001143215041858i</v>
      </c>
      <c r="X110" s="4">
        <f t="shared" si="121"/>
        <v>1.0000006534701025</v>
      </c>
      <c r="Y110" s="4">
        <f t="shared" si="122"/>
        <v>-1.1432145438203276E-3</v>
      </c>
      <c r="Z110" t="str">
        <f t="shared" si="107"/>
        <v>0.99999999308169+0.000765254150468215i</v>
      </c>
      <c r="AA110" s="4">
        <f t="shared" si="123"/>
        <v>1.0000002858886063</v>
      </c>
      <c r="AB110" s="4">
        <f t="shared" si="124"/>
        <v>7.6525400638137019E-4</v>
      </c>
      <c r="AC110" s="47" t="str">
        <f t="shared" si="125"/>
        <v>19.3107790316098-2.4417439004621i</v>
      </c>
      <c r="AD110" s="20">
        <f t="shared" si="126"/>
        <v>25.784882693686455</v>
      </c>
      <c r="AE110" s="43">
        <f t="shared" si="127"/>
        <v>-7.2064984100264562</v>
      </c>
      <c r="AF110" t="str">
        <f t="shared" si="108"/>
        <v>72.2956529813786</v>
      </c>
      <c r="AG110" t="str">
        <f t="shared" si="109"/>
        <v>1+0.103163725377266i</v>
      </c>
      <c r="AH110">
        <f t="shared" si="128"/>
        <v>1.0053072934350551</v>
      </c>
      <c r="AI110">
        <f t="shared" si="129"/>
        <v>0.10280006273291978</v>
      </c>
      <c r="AJ110" t="str">
        <f t="shared" si="110"/>
        <v>1+0.00196502334051936i</v>
      </c>
      <c r="AK110">
        <f t="shared" si="130"/>
        <v>1.0000019306565007</v>
      </c>
      <c r="AL110">
        <f t="shared" si="131"/>
        <v>1.9650208113327202E-3</v>
      </c>
      <c r="AM110" t="str">
        <f t="shared" si="111"/>
        <v>1-0.000253008732471421i</v>
      </c>
      <c r="AN110">
        <f t="shared" si="132"/>
        <v>1.0000000320067088</v>
      </c>
      <c r="AO110">
        <f t="shared" si="133"/>
        <v>-2.5300872707276992E-4</v>
      </c>
      <c r="AP110" s="41" t="str">
        <f t="shared" si="134"/>
        <v>71.547000481713-7.25728389526008i</v>
      </c>
      <c r="AQ110">
        <f t="shared" si="135"/>
        <v>37.136284073946349</v>
      </c>
      <c r="AR110" s="43">
        <f t="shared" si="136"/>
        <v>-5.791918661372919</v>
      </c>
      <c r="AS110" t="str">
        <f t="shared" si="112"/>
        <v>-0.0000166666666666667</v>
      </c>
      <c r="AT110" t="str">
        <f t="shared" si="113"/>
        <v>1.77688280791644E-06i</v>
      </c>
      <c r="AU110">
        <f t="shared" si="137"/>
        <v>1.77688280791644E-6</v>
      </c>
      <c r="AV110">
        <f t="shared" si="138"/>
        <v>1.5707963267948966</v>
      </c>
      <c r="AW110" t="str">
        <f t="shared" si="114"/>
        <v>1+0.00177534571206184i</v>
      </c>
      <c r="AX110">
        <f t="shared" si="139"/>
        <v>1.000001575924957</v>
      </c>
      <c r="AY110">
        <f t="shared" si="140"/>
        <v>1.7753438468561544E-3</v>
      </c>
      <c r="AZ110" t="str">
        <f t="shared" si="115"/>
        <v>1+0.0603617542101026i</v>
      </c>
      <c r="BA110">
        <f t="shared" si="141"/>
        <v>1.0018201142776686</v>
      </c>
      <c r="BB110">
        <f t="shared" si="142"/>
        <v>6.0288603876493402E-2</v>
      </c>
      <c r="BC110" s="41" t="str">
        <f t="shared" si="143"/>
        <v>-0.549522489439513+9.38069753714749i</v>
      </c>
      <c r="BD110">
        <f t="shared" si="144"/>
        <v>19.459580537821743</v>
      </c>
      <c r="BE110" s="43">
        <f t="shared" si="145"/>
        <v>93.35256284524975</v>
      </c>
      <c r="BF110" s="41" t="str">
        <f t="shared" si="146"/>
        <v>12.2935536269432+182.490370488977i</v>
      </c>
      <c r="BG110" s="20">
        <f t="shared" si="147"/>
        <v>45.244463231508192</v>
      </c>
      <c r="BH110" s="43">
        <f t="shared" si="148"/>
        <v>86.14606443522328</v>
      </c>
      <c r="BI110" s="41" t="str">
        <f t="shared" si="101"/>
        <v>28.7616993460054+675.148811921788i</v>
      </c>
      <c r="BJ110" s="20">
        <f t="shared" si="149"/>
        <v>56.595864611768086</v>
      </c>
      <c r="BK110" s="43">
        <f t="shared" si="102"/>
        <v>87.560644183876832</v>
      </c>
      <c r="BL110">
        <f t="shared" si="150"/>
        <v>45.244463231508192</v>
      </c>
      <c r="BM110" s="43">
        <f t="shared" si="151"/>
        <v>86.14606443522328</v>
      </c>
    </row>
    <row r="111" spans="14:65" x14ac:dyDescent="0.25">
      <c r="N111" s="9">
        <v>93</v>
      </c>
      <c r="O111" s="34">
        <f t="shared" si="116"/>
        <v>85.113803820237734</v>
      </c>
      <c r="P111" s="33" t="str">
        <f t="shared" si="103"/>
        <v>19.6196196196196</v>
      </c>
      <c r="Q111" s="4" t="str">
        <f t="shared" si="104"/>
        <v>1+0.129448677291554i</v>
      </c>
      <c r="R111" s="4">
        <f t="shared" si="117"/>
        <v>1.0083436715983956</v>
      </c>
      <c r="S111" s="4">
        <f t="shared" si="118"/>
        <v>0.12873280568563417</v>
      </c>
      <c r="T111" s="4" t="str">
        <f t="shared" si="105"/>
        <v>1+0.00201079461402158i</v>
      </c>
      <c r="U111" s="4">
        <f t="shared" si="119"/>
        <v>1.0000020216454464</v>
      </c>
      <c r="V111" s="4">
        <f t="shared" si="120"/>
        <v>2.010791903949565E-3</v>
      </c>
      <c r="W111" t="str">
        <f t="shared" si="106"/>
        <v>1-0.00116984394100325i</v>
      </c>
      <c r="X111" s="4">
        <f t="shared" si="121"/>
        <v>1.0000006842671891</v>
      </c>
      <c r="Y111" s="4">
        <f t="shared" si="122"/>
        <v>-1.1698434073462889E-3</v>
      </c>
      <c r="Z111" t="str">
        <f t="shared" si="107"/>
        <v>0.99999999275564+0.000783079209487887i</v>
      </c>
      <c r="AA111" s="4">
        <f t="shared" si="123"/>
        <v>1.0000002993621193</v>
      </c>
      <c r="AB111" s="4">
        <f t="shared" si="124"/>
        <v>7.8307905509605381E-4</v>
      </c>
      <c r="AC111" s="47" t="str">
        <f t="shared" si="125"/>
        <v>19.2964637042696-2.4967663237605i</v>
      </c>
      <c r="AD111" s="20">
        <f t="shared" si="126"/>
        <v>25.781661025797536</v>
      </c>
      <c r="AE111" s="43">
        <f t="shared" si="127"/>
        <v>-7.37253077590342</v>
      </c>
      <c r="AF111" t="str">
        <f t="shared" si="108"/>
        <v>72.2956529813786</v>
      </c>
      <c r="AG111" t="str">
        <f t="shared" si="109"/>
        <v>1+0.105566717236133i</v>
      </c>
      <c r="AH111">
        <f t="shared" si="128"/>
        <v>1.0055567272849473</v>
      </c>
      <c r="AI111">
        <f t="shared" si="129"/>
        <v>0.10517716189681142</v>
      </c>
      <c r="AJ111" t="str">
        <f t="shared" si="110"/>
        <v>1+0.00201079461402158i</v>
      </c>
      <c r="AK111">
        <f t="shared" si="130"/>
        <v>1.0000020216454464</v>
      </c>
      <c r="AL111">
        <f t="shared" si="131"/>
        <v>2.010791903949565E-3</v>
      </c>
      <c r="AM111" t="str">
        <f t="shared" si="111"/>
        <v>1-0.000258902062923841i</v>
      </c>
      <c r="AN111">
        <f t="shared" si="132"/>
        <v>1.0000000335151384</v>
      </c>
      <c r="AO111">
        <f t="shared" si="133"/>
        <v>-2.5890205713908213E-4</v>
      </c>
      <c r="AP111" s="41" t="str">
        <f t="shared" si="134"/>
        <v>71.5121064471081-7.42264410432728i</v>
      </c>
      <c r="AQ111">
        <f t="shared" si="135"/>
        <v>37.134130027629602</v>
      </c>
      <c r="AR111" s="43">
        <f t="shared" si="136"/>
        <v>-5.92583158345741</v>
      </c>
      <c r="AS111" t="str">
        <f t="shared" si="112"/>
        <v>-0.0000166666666666667</v>
      </c>
      <c r="AT111" t="str">
        <f t="shared" si="113"/>
        <v>1.81827172544504E-06i</v>
      </c>
      <c r="AU111">
        <f t="shared" si="137"/>
        <v>1.8182717254450401E-6</v>
      </c>
      <c r="AV111">
        <f t="shared" si="138"/>
        <v>1.5707963267948966</v>
      </c>
      <c r="AW111" t="str">
        <f t="shared" si="114"/>
        <v>1+0.00181669882602857i</v>
      </c>
      <c r="AX111">
        <f t="shared" si="139"/>
        <v>1.0000016501959508</v>
      </c>
      <c r="AY111">
        <f t="shared" si="140"/>
        <v>1.8166968274248478E-3</v>
      </c>
      <c r="AZ111" t="str">
        <f t="shared" si="115"/>
        <v>1+0.0617677600849714i</v>
      </c>
      <c r="BA111">
        <f t="shared" si="141"/>
        <v>1.0019058120332043</v>
      </c>
      <c r="BB111">
        <f t="shared" si="142"/>
        <v>6.1689386140649671E-2</v>
      </c>
      <c r="BC111" s="41" t="str">
        <f t="shared" si="143"/>
        <v>-0.54952240781249+9.16721172334102i</v>
      </c>
      <c r="BD111">
        <f t="shared" si="144"/>
        <v>19.260322869821433</v>
      </c>
      <c r="BE111" s="43">
        <f t="shared" si="145"/>
        <v>93.430452405745811</v>
      </c>
      <c r="BF111" s="41" t="str">
        <f t="shared" si="146"/>
        <v>12.2845463165838+178.266797330783i</v>
      </c>
      <c r="BG111" s="20">
        <f t="shared" si="147"/>
        <v>45.041983895618984</v>
      </c>
      <c r="BH111" s="43">
        <f t="shared" si="148"/>
        <v>86.057921629842383</v>
      </c>
      <c r="BI111" s="41" t="str">
        <f t="shared" si="101"/>
        <v>28.7474451288192+659.645529843285i</v>
      </c>
      <c r="BJ111" s="20">
        <f t="shared" si="149"/>
        <v>56.394452897451032</v>
      </c>
      <c r="BK111" s="43">
        <f t="shared" si="102"/>
        <v>87.504620822288402</v>
      </c>
      <c r="BL111">
        <f t="shared" si="150"/>
        <v>45.041983895618984</v>
      </c>
      <c r="BM111" s="43">
        <f t="shared" si="151"/>
        <v>86.057921629842383</v>
      </c>
    </row>
    <row r="112" spans="14:65" x14ac:dyDescent="0.25">
      <c r="N112" s="9">
        <v>94</v>
      </c>
      <c r="O112" s="34">
        <f t="shared" si="116"/>
        <v>87.096358995608071</v>
      </c>
      <c r="P112" s="33" t="str">
        <f t="shared" si="103"/>
        <v>19.6196196196196</v>
      </c>
      <c r="Q112" s="4" t="str">
        <f t="shared" si="104"/>
        <v>1+0.13246392433246i</v>
      </c>
      <c r="R112" s="4">
        <f t="shared" si="117"/>
        <v>1.0087351938192479</v>
      </c>
      <c r="S112" s="4">
        <f t="shared" si="118"/>
        <v>0.13169721238310197</v>
      </c>
      <c r="T112" s="4" t="str">
        <f t="shared" si="105"/>
        <v>1+0.00205763203744416i</v>
      </c>
      <c r="U112" s="4">
        <f t="shared" si="119"/>
        <v>1.0000021169225601</v>
      </c>
      <c r="V112" s="4">
        <f t="shared" si="120"/>
        <v>2.0576291335500096E-3</v>
      </c>
      <c r="W112" t="str">
        <f t="shared" si="106"/>
        <v>1-0.00119709310689072i</v>
      </c>
      <c r="X112" s="4">
        <f t="shared" si="121"/>
        <v>1.0000007165156966</v>
      </c>
      <c r="Y112" s="4">
        <f t="shared" si="122"/>
        <v>-1.197092535067006E-3</v>
      </c>
      <c r="Z112" t="str">
        <f t="shared" si="107"/>
        <v>0.999999992414224+0.000801319467469705i</v>
      </c>
      <c r="AA112" s="4">
        <f t="shared" si="123"/>
        <v>1.0000003134706192</v>
      </c>
      <c r="AB112" s="4">
        <f t="shared" si="124"/>
        <v>8.0131930203587774E-4</v>
      </c>
      <c r="AC112" s="47" t="str">
        <f t="shared" si="125"/>
        <v>19.281496460552-2.55294086440889i</v>
      </c>
      <c r="AD112" s="20">
        <f t="shared" si="126"/>
        <v>25.778290086402897</v>
      </c>
      <c r="AE112" s="43">
        <f t="shared" si="127"/>
        <v>-7.5423015420291977</v>
      </c>
      <c r="AF112" t="str">
        <f t="shared" si="108"/>
        <v>72.2956529813786</v>
      </c>
      <c r="AG112" t="str">
        <f t="shared" si="109"/>
        <v>1+0.108025681965818i</v>
      </c>
      <c r="AH112">
        <f t="shared" si="128"/>
        <v>1.0058178502910853</v>
      </c>
      <c r="AI112">
        <f t="shared" si="129"/>
        <v>0.10760839618844502</v>
      </c>
      <c r="AJ112" t="str">
        <f t="shared" si="110"/>
        <v>1+0.00205763203744416i</v>
      </c>
      <c r="AK112">
        <f t="shared" si="130"/>
        <v>1.0000021169225601</v>
      </c>
      <c r="AL112">
        <f t="shared" si="131"/>
        <v>2.0576291335500096E-3</v>
      </c>
      <c r="AM112" t="str">
        <f t="shared" si="111"/>
        <v>1-0.000264932666676997i</v>
      </c>
      <c r="AN112">
        <f t="shared" si="132"/>
        <v>1.0000000350946583</v>
      </c>
      <c r="AO112">
        <f t="shared" si="133"/>
        <v>-2.6493266047851618E-4</v>
      </c>
      <c r="AP112" s="41" t="str">
        <f t="shared" si="134"/>
        <v>71.4756049920976-7.59159660158185i</v>
      </c>
      <c r="AQ112">
        <f t="shared" si="135"/>
        <v>37.131875609598907</v>
      </c>
      <c r="AR112" s="43">
        <f t="shared" si="136"/>
        <v>-6.0627929999145689</v>
      </c>
      <c r="AS112" t="str">
        <f t="shared" si="112"/>
        <v>-0.0000166666666666667</v>
      </c>
      <c r="AT112" t="str">
        <f t="shared" si="113"/>
        <v>1.86062471471015E-06i</v>
      </c>
      <c r="AU112">
        <f t="shared" si="137"/>
        <v>1.86062471471015E-6</v>
      </c>
      <c r="AV112">
        <f t="shared" si="138"/>
        <v>1.5707963267948966</v>
      </c>
      <c r="AW112" t="str">
        <f t="shared" si="114"/>
        <v>1+0.00185901517775971i</v>
      </c>
      <c r="AX112">
        <f t="shared" si="139"/>
        <v>1.0000017279672226</v>
      </c>
      <c r="AY112">
        <f t="shared" si="140"/>
        <v>1.859013036217438E-3</v>
      </c>
      <c r="AZ112" t="str">
        <f t="shared" si="115"/>
        <v>1+0.0632065160438299i</v>
      </c>
      <c r="BA112">
        <f t="shared" si="141"/>
        <v>1.0019955407437695</v>
      </c>
      <c r="BB112">
        <f t="shared" si="142"/>
        <v>6.3122545879814987E-2</v>
      </c>
      <c r="BC112" s="41" t="str">
        <f t="shared" si="143"/>
        <v>-0.549522322338523+8.95858648651862i</v>
      </c>
      <c r="BD112">
        <f t="shared" si="144"/>
        <v>19.061100050641723</v>
      </c>
      <c r="BE112" s="43">
        <f t="shared" si="145"/>
        <v>93.510141869999245</v>
      </c>
      <c r="BF112" s="41" t="str">
        <f t="shared" si="146"/>
        <v>12.2751288156101+174.137851623961i</v>
      </c>
      <c r="BG112" s="20">
        <f t="shared" si="147"/>
        <v>44.839390137044646</v>
      </c>
      <c r="BH112" s="43">
        <f t="shared" si="148"/>
        <v>85.967840327970052</v>
      </c>
      <c r="BI112" s="41" t="str">
        <f t="shared" si="101"/>
        <v>28.7325342802234+644.492140792707i</v>
      </c>
      <c r="BJ112" s="20">
        <f t="shared" si="149"/>
        <v>56.192975660240634</v>
      </c>
      <c r="BK112" s="43">
        <f t="shared" si="102"/>
        <v>87.447348870084681</v>
      </c>
      <c r="BL112">
        <f t="shared" si="150"/>
        <v>44.839390137044646</v>
      </c>
      <c r="BM112" s="43">
        <f t="shared" si="151"/>
        <v>85.967840327970052</v>
      </c>
    </row>
    <row r="113" spans="14:65" x14ac:dyDescent="0.25">
      <c r="N113" s="9">
        <v>95</v>
      </c>
      <c r="O113" s="34">
        <f t="shared" si="116"/>
        <v>89.125093813374562</v>
      </c>
      <c r="P113" s="33" t="str">
        <f t="shared" si="103"/>
        <v>19.6196196196196</v>
      </c>
      <c r="Q113" s="4" t="str">
        <f t="shared" si="104"/>
        <v>1+0.135549405499415i</v>
      </c>
      <c r="R113" s="4">
        <f t="shared" si="117"/>
        <v>1.0091450051064241</v>
      </c>
      <c r="S113" s="4">
        <f t="shared" si="118"/>
        <v>0.13472826040263769</v>
      </c>
      <c r="T113" s="4" t="str">
        <f t="shared" si="105"/>
        <v>1+0.00210556044460898i</v>
      </c>
      <c r="U113" s="4">
        <f t="shared" si="119"/>
        <v>1.0000022166899361</v>
      </c>
      <c r="V113" s="4">
        <f t="shared" si="120"/>
        <v>2.1055573330307099E-3</v>
      </c>
      <c r="W113" t="str">
        <f t="shared" si="106"/>
        <v>1-0.00122497698738887i</v>
      </c>
      <c r="X113" s="4">
        <f t="shared" si="121"/>
        <v>1.0000007502840282</v>
      </c>
      <c r="Y113" s="4">
        <f t="shared" si="122"/>
        <v>-1.2249763746687459E-3</v>
      </c>
      <c r="Z113" t="str">
        <f t="shared" si="107"/>
        <v>0.999999992056718+0.000819984595639895i</v>
      </c>
      <c r="AA113" s="4">
        <f t="shared" si="123"/>
        <v>1.0000003282440326</v>
      </c>
      <c r="AB113" s="4">
        <f t="shared" si="124"/>
        <v>8.1998441837435811E-4</v>
      </c>
      <c r="AC113" s="47" t="str">
        <f t="shared" si="125"/>
        <v>19.2658487128464-2.61028545526678i</v>
      </c>
      <c r="AD113" s="20">
        <f t="shared" si="126"/>
        <v>25.774763083276184</v>
      </c>
      <c r="AE113" s="43">
        <f t="shared" si="127"/>
        <v>-7.7158887762163184</v>
      </c>
      <c r="AF113" t="str">
        <f t="shared" si="108"/>
        <v>72.2956529813786</v>
      </c>
      <c r="AG113" t="str">
        <f t="shared" si="109"/>
        <v>1+0.110541923341971i</v>
      </c>
      <c r="AH113">
        <f t="shared" si="128"/>
        <v>1.0060912070066719</v>
      </c>
      <c r="AI113">
        <f t="shared" si="129"/>
        <v>0.11009493965151197</v>
      </c>
      <c r="AJ113" t="str">
        <f t="shared" si="110"/>
        <v>1+0.00210556044460898i</v>
      </c>
      <c r="AK113">
        <f t="shared" si="130"/>
        <v>1.0000022166899361</v>
      </c>
      <c r="AL113">
        <f t="shared" si="131"/>
        <v>2.1055573330307099E-3</v>
      </c>
      <c r="AM113" t="str">
        <f t="shared" si="111"/>
        <v>1-0.000271103741236824i</v>
      </c>
      <c r="AN113">
        <f t="shared" si="132"/>
        <v>1.0000000367486186</v>
      </c>
      <c r="AO113">
        <f t="shared" si="133"/>
        <v>-2.7110373459503218E-4</v>
      </c>
      <c r="AP113" s="41" t="str">
        <f t="shared" si="134"/>
        <v>71.4374238758232-7.76420698859278i</v>
      </c>
      <c r="AQ113">
        <f t="shared" si="135"/>
        <v>37.129516198679013</v>
      </c>
      <c r="AR113" s="43">
        <f t="shared" si="136"/>
        <v>-6.2028689388761835</v>
      </c>
      <c r="AS113" t="str">
        <f t="shared" si="112"/>
        <v>-0.0000166666666666667</v>
      </c>
      <c r="AT113" t="str">
        <f t="shared" si="113"/>
        <v>1.90396423182727E-06i</v>
      </c>
      <c r="AU113">
        <f t="shared" si="137"/>
        <v>1.90396423182727E-6</v>
      </c>
      <c r="AV113">
        <f t="shared" si="138"/>
        <v>1.5707963267948966</v>
      </c>
      <c r="AW113" t="str">
        <f t="shared" si="114"/>
        <v>1+0.00190231720394507i</v>
      </c>
      <c r="AX113">
        <f t="shared" si="139"/>
        <v>1.0000018094037353</v>
      </c>
      <c r="AY113">
        <f t="shared" si="140"/>
        <v>1.9023149092414068E-3</v>
      </c>
      <c r="AZ113" t="str">
        <f t="shared" si="115"/>
        <v>1+0.0646787849341322i</v>
      </c>
      <c r="BA113">
        <f t="shared" si="141"/>
        <v>1.0020894896268275</v>
      </c>
      <c r="BB113">
        <f t="shared" si="142"/>
        <v>6.458881941189544E-2</v>
      </c>
      <c r="BC113" s="41" t="str">
        <f t="shared" si="143"/>
        <v>-0.549522232836328+8.75471121081737i</v>
      </c>
      <c r="BD113">
        <f t="shared" si="144"/>
        <v>18.861913709569421</v>
      </c>
      <c r="BE113" s="43">
        <f t="shared" si="145"/>
        <v>93.591672140429907</v>
      </c>
      <c r="BF113" s="41" t="str">
        <f t="shared" si="146"/>
        <v>12.2652831364874+170.101351603986i</v>
      </c>
      <c r="BG113" s="20">
        <f t="shared" si="147"/>
        <v>44.636676792845591</v>
      </c>
      <c r="BH113" s="43">
        <f t="shared" si="148"/>
        <v>85.875783364213575</v>
      </c>
      <c r="BI113" s="41" t="str">
        <f t="shared" si="101"/>
        <v>28.7169372898222+629.680620038157i</v>
      </c>
      <c r="BJ113" s="20">
        <f t="shared" si="149"/>
        <v>55.991429908248442</v>
      </c>
      <c r="BK113" s="43">
        <f t="shared" si="102"/>
        <v>87.388803201553728</v>
      </c>
      <c r="BL113">
        <f t="shared" si="150"/>
        <v>44.636676792845591</v>
      </c>
      <c r="BM113" s="43">
        <f t="shared" si="151"/>
        <v>85.875783364213575</v>
      </c>
    </row>
    <row r="114" spans="14:65" x14ac:dyDescent="0.25">
      <c r="N114" s="9">
        <v>96</v>
      </c>
      <c r="O114" s="34">
        <f t="shared" si="116"/>
        <v>91.201083935590972</v>
      </c>
      <c r="P114" s="33" t="str">
        <f t="shared" si="103"/>
        <v>19.6196196196196</v>
      </c>
      <c r="Q114" s="4" t="str">
        <f t="shared" si="104"/>
        <v>1+0.138706756755373i</v>
      </c>
      <c r="R114" s="4">
        <f t="shared" si="117"/>
        <v>1.009573951907236</v>
      </c>
      <c r="S114" s="4">
        <f t="shared" si="118"/>
        <v>0.13782733395225902</v>
      </c>
      <c r="T114" s="4" t="str">
        <f t="shared" si="105"/>
        <v>1+0.00215460524779192i</v>
      </c>
      <c r="U114" s="4">
        <f t="shared" si="119"/>
        <v>1.0000023211591931</v>
      </c>
      <c r="V114" s="4">
        <f t="shared" si="120"/>
        <v>2.154601913676152E-3</v>
      </c>
      <c r="W114" t="str">
        <f t="shared" si="106"/>
        <v>1-0.00125351036690022i</v>
      </c>
      <c r="X114" s="4">
        <f t="shared" si="121"/>
        <v>1.0000007856438113</v>
      </c>
      <c r="Y114" s="4">
        <f t="shared" si="122"/>
        <v>-1.2535097103588064E-3</v>
      </c>
      <c r="Z114" t="str">
        <f t="shared" si="107"/>
        <v>0.999999991682362+0.000839084490496472i</v>
      </c>
      <c r="AA114" s="4">
        <f t="shared" si="123"/>
        <v>1.000000343713694</v>
      </c>
      <c r="AB114" s="4">
        <f t="shared" si="124"/>
        <v>8.3908430055303106E-4</v>
      </c>
      <c r="AC114" s="47" t="str">
        <f t="shared" si="125"/>
        <v>19.2494907239623-2.66881785268708i</v>
      </c>
      <c r="AD114" s="20">
        <f t="shared" si="126"/>
        <v>25.771072926866697</v>
      </c>
      <c r="AE114" s="43">
        <f t="shared" si="127"/>
        <v>-7.8933717458797323</v>
      </c>
      <c r="AF114" t="str">
        <f t="shared" si="108"/>
        <v>72.2956529813786</v>
      </c>
      <c r="AG114" t="str">
        <f t="shared" si="109"/>
        <v>1+0.113116775509076i</v>
      </c>
      <c r="AH114">
        <f t="shared" si="128"/>
        <v>1.0063773670455685</v>
      </c>
      <c r="AI114">
        <f t="shared" si="129"/>
        <v>0.11263798762505126</v>
      </c>
      <c r="AJ114" t="str">
        <f t="shared" si="110"/>
        <v>1+0.00215460524779192i</v>
      </c>
      <c r="AK114">
        <f t="shared" si="130"/>
        <v>1.0000023211591931</v>
      </c>
      <c r="AL114">
        <f t="shared" si="131"/>
        <v>2.154601913676152E-3</v>
      </c>
      <c r="AM114" t="str">
        <f t="shared" si="111"/>
        <v>1-0.000277418558588737i</v>
      </c>
      <c r="AN114">
        <f t="shared" si="132"/>
        <v>1.0000000384805277</v>
      </c>
      <c r="AO114">
        <f t="shared" si="133"/>
        <v>-2.7741855147192887E-4</v>
      </c>
      <c r="AP114" s="41" t="str">
        <f t="shared" si="134"/>
        <v>71.3974877826655-7.94054115995987i</v>
      </c>
      <c r="AQ114">
        <f t="shared" si="135"/>
        <v>37.127046966249644</v>
      </c>
      <c r="AR114" s="43">
        <f t="shared" si="136"/>
        <v>-6.3461266197357507</v>
      </c>
      <c r="AS114" t="str">
        <f t="shared" si="112"/>
        <v>-0.0000166666666666667</v>
      </c>
      <c r="AT114" t="str">
        <f t="shared" si="113"/>
        <v>1.94831325598206E-06i</v>
      </c>
      <c r="AU114">
        <f t="shared" si="137"/>
        <v>1.9483132559820601E-6</v>
      </c>
      <c r="AV114">
        <f t="shared" si="138"/>
        <v>1.5707963267948966</v>
      </c>
      <c r="AW114" t="str">
        <f t="shared" si="114"/>
        <v>1+0.00194662786389211i</v>
      </c>
      <c r="AX114">
        <f t="shared" si="139"/>
        <v>1.0000018946782252</v>
      </c>
      <c r="AY114">
        <f t="shared" si="140"/>
        <v>1.9466254050730866E-3</v>
      </c>
      <c r="AZ114" t="str">
        <f t="shared" si="115"/>
        <v>1+0.0661853473723315i</v>
      </c>
      <c r="BA114">
        <f t="shared" si="141"/>
        <v>1.0021878567448301</v>
      </c>
      <c r="BB114">
        <f t="shared" si="142"/>
        <v>6.608895894089574E-2</v>
      </c>
      <c r="BC114" s="41" t="str">
        <f t="shared" si="143"/>
        <v>-0.549522139116051+8.55547779886628i</v>
      </c>
      <c r="BD114">
        <f t="shared" si="144"/>
        <v>18.662765551422204</v>
      </c>
      <c r="BE114" s="43">
        <f t="shared" si="145"/>
        <v>93.675084999723083</v>
      </c>
      <c r="BF114" s="41" t="str">
        <f t="shared" si="146"/>
        <v>12.2549905683559+166.155165023662i</v>
      </c>
      <c r="BG114" s="20">
        <f t="shared" si="147"/>
        <v>44.433838478288934</v>
      </c>
      <c r="BH114" s="43">
        <f t="shared" si="148"/>
        <v>85.781713253843378</v>
      </c>
      <c r="BI114" s="41" t="str">
        <f t="shared" ref="BI114:BI177" si="152">IMPRODUCT(AP114,BC114)</f>
        <v>28.7006233911781+615.203124783381i</v>
      </c>
      <c r="BJ114" s="20">
        <f t="shared" si="149"/>
        <v>55.789812517671848</v>
      </c>
      <c r="BK114" s="43">
        <f t="shared" ref="BK114:BK177" si="153">(180/PI())*IMARGUMENT(BI114)</f>
        <v>87.328958379987327</v>
      </c>
      <c r="BL114">
        <f t="shared" si="150"/>
        <v>44.433838478288934</v>
      </c>
      <c r="BM114" s="43">
        <f t="shared" si="151"/>
        <v>85.781713253843378</v>
      </c>
    </row>
    <row r="115" spans="14:65" x14ac:dyDescent="0.25">
      <c r="N115" s="9">
        <v>97</v>
      </c>
      <c r="O115" s="34">
        <f t="shared" si="116"/>
        <v>93.325430079699174</v>
      </c>
      <c r="P115" s="33" t="str">
        <f t="shared" si="103"/>
        <v>19.6196196196196</v>
      </c>
      <c r="Q115" s="4" t="str">
        <f t="shared" si="104"/>
        <v>1+0.141937652169765i</v>
      </c>
      <c r="R115" s="4">
        <f t="shared" si="117"/>
        <v>1.0100229190981089</v>
      </c>
      <c r="S115" s="4">
        <f t="shared" si="118"/>
        <v>0.14099583796204576</v>
      </c>
      <c r="T115" s="4" t="str">
        <f t="shared" si="105"/>
        <v>1+0.00220479245119681i</v>
      </c>
      <c r="U115" s="4">
        <f t="shared" si="119"/>
        <v>1.0000024305519226</v>
      </c>
      <c r="V115" s="4">
        <f t="shared" si="120"/>
        <v>2.2047888786278676E-3</v>
      </c>
      <c r="W115" t="str">
        <f t="shared" si="106"/>
        <v>1-0.00128270837420027i</v>
      </c>
      <c r="X115" s="4">
        <f t="shared" si="121"/>
        <v>1.0000008226700483</v>
      </c>
      <c r="Y115" s="4">
        <f t="shared" si="122"/>
        <v>-1.2827076707035018E-3</v>
      </c>
      <c r="Z115" t="str">
        <f t="shared" si="107"/>
        <v>0.999999991290364+0.000858629279056509i</v>
      </c>
      <c r="AA115" s="4">
        <f t="shared" si="123"/>
        <v>1.0000003599124188</v>
      </c>
      <c r="AB115" s="4">
        <f t="shared" si="124"/>
        <v>8.5862907552844891E-4</v>
      </c>
      <c r="AC115" s="47" t="str">
        <f t="shared" si="125"/>
        <v>19.2323915708247-2.72855559486971i</v>
      </c>
      <c r="AD115" s="20">
        <f t="shared" si="126"/>
        <v>25.767212218393372</v>
      </c>
      <c r="AE115" s="43">
        <f t="shared" si="127"/>
        <v>-8.0748309047482678</v>
      </c>
      <c r="AF115" t="str">
        <f t="shared" si="108"/>
        <v>72.2956529813786</v>
      </c>
      <c r="AG115" t="str">
        <f t="shared" si="109"/>
        <v>1+0.115751603687833i</v>
      </c>
      <c r="AH115">
        <f t="shared" si="128"/>
        <v>1.0066769262063699</v>
      </c>
      <c r="AI115">
        <f t="shared" si="129"/>
        <v>0.11523875682640797</v>
      </c>
      <c r="AJ115" t="str">
        <f t="shared" si="110"/>
        <v>1+0.00220479245119681i</v>
      </c>
      <c r="AK115">
        <f t="shared" si="130"/>
        <v>1.0000024305519226</v>
      </c>
      <c r="AL115">
        <f t="shared" si="131"/>
        <v>2.2047888786278676E-3</v>
      </c>
      <c r="AM115" t="str">
        <f t="shared" si="111"/>
        <v>1-0.000283880466932483i</v>
      </c>
      <c r="AN115">
        <f t="shared" si="132"/>
        <v>1.000000040294059</v>
      </c>
      <c r="AO115">
        <f t="shared" si="133"/>
        <v>-2.838804593066857E-4</v>
      </c>
      <c r="AP115" s="41" t="str">
        <f t="shared" si="134"/>
        <v>71.3557182078218-8.12066522863033i</v>
      </c>
      <c r="AQ115">
        <f t="shared" si="135"/>
        <v>37.124462867439249</v>
      </c>
      <c r="AR115" s="43">
        <f t="shared" si="136"/>
        <v>-6.4926344572293297</v>
      </c>
      <c r="AS115" t="str">
        <f t="shared" si="112"/>
        <v>-0.0000166666666666667</v>
      </c>
      <c r="AT115" t="str">
        <f t="shared" si="113"/>
        <v>1.99369530161414E-06i</v>
      </c>
      <c r="AU115">
        <f t="shared" si="137"/>
        <v>1.9936953016141398E-6</v>
      </c>
      <c r="AV115">
        <f t="shared" si="138"/>
        <v>1.5707963267948966</v>
      </c>
      <c r="AW115" t="str">
        <f t="shared" si="114"/>
        <v>1+0.00199197065169925i</v>
      </c>
      <c r="AX115">
        <f t="shared" si="139"/>
        <v>1.0000019839715706</v>
      </c>
      <c r="AY115">
        <f t="shared" si="140"/>
        <v>1.9919680170274808E-3</v>
      </c>
      <c r="AZ115" t="str">
        <f t="shared" si="115"/>
        <v>1+0.0677270021577744i</v>
      </c>
      <c r="BA115">
        <f t="shared" si="141"/>
        <v>1.0022908494151181</v>
      </c>
      <c r="BB115">
        <f t="shared" si="142"/>
        <v>6.7623732837904016E-2</v>
      </c>
      <c r="BC115" s="41" t="str">
        <f t="shared" si="143"/>
        <v>-0.549522040978911+8.36078061447213i</v>
      </c>
      <c r="BD115">
        <f t="shared" si="144"/>
        <v>18.463657359988932</v>
      </c>
      <c r="BE115" s="43">
        <f t="shared" si="145"/>
        <v>93.760423126231402</v>
      </c>
      <c r="BF115" s="41" t="str">
        <f t="shared" si="146"/>
        <v>12.2442316541909+162.297208054706i</v>
      </c>
      <c r="BG115" s="20">
        <f t="shared" si="147"/>
        <v>44.230869578382325</v>
      </c>
      <c r="BH115" s="43">
        <f t="shared" si="148"/>
        <v>85.685592221483176</v>
      </c>
      <c r="BI115" s="41" t="str">
        <f t="shared" si="152"/>
        <v>28.6835605150721+601.051990054236i</v>
      </c>
      <c r="BJ115" s="20">
        <f t="shared" si="149"/>
        <v>55.588120227428178</v>
      </c>
      <c r="BK115" s="43">
        <f t="shared" si="153"/>
        <v>87.267788669002087</v>
      </c>
      <c r="BL115">
        <f t="shared" si="150"/>
        <v>44.230869578382325</v>
      </c>
      <c r="BM115" s="43">
        <f t="shared" si="151"/>
        <v>85.685592221483176</v>
      </c>
    </row>
    <row r="116" spans="14:65" x14ac:dyDescent="0.25">
      <c r="N116" s="9">
        <v>98</v>
      </c>
      <c r="O116" s="34">
        <f t="shared" si="116"/>
        <v>95.499258602143655</v>
      </c>
      <c r="P116" s="33" t="str">
        <f t="shared" si="103"/>
        <v>19.6196196196196</v>
      </c>
      <c r="Q116" s="4" t="str">
        <f t="shared" si="104"/>
        <v>1+0.145243804806103i</v>
      </c>
      <c r="R116" s="4">
        <f t="shared" si="117"/>
        <v>1.010492831659163</v>
      </c>
      <c r="S116" s="4">
        <f t="shared" si="118"/>
        <v>0.14423519780186675</v>
      </c>
      <c r="T116" s="4" t="str">
        <f t="shared" si="105"/>
        <v>1+0.0022561486647432i</v>
      </c>
      <c r="U116" s="4">
        <f t="shared" si="119"/>
        <v>1.00000254510016</v>
      </c>
      <c r="V116" s="4">
        <f t="shared" si="120"/>
        <v>2.2561448366671352E-3</v>
      </c>
      <c r="W116" t="str">
        <f t="shared" si="106"/>
        <v>1-0.00131258649045898i</v>
      </c>
      <c r="X116" s="4">
        <f t="shared" si="121"/>
        <v>1.0000008614412763</v>
      </c>
      <c r="Y116" s="4">
        <f t="shared" si="122"/>
        <v>-1.3125857366486466E-3</v>
      </c>
      <c r="Z116" t="str">
        <f t="shared" si="107"/>
        <v>0.999999990879892+0.000878629324225601i</v>
      </c>
      <c r="AA116" s="4">
        <f t="shared" si="123"/>
        <v>1.0000003768745656</v>
      </c>
      <c r="AB116" s="4">
        <f t="shared" si="124"/>
        <v>8.786291061413595E-4</v>
      </c>
      <c r="AC116" s="47" t="str">
        <f t="shared" si="125"/>
        <v>19.214519108014-2.78951595712713i</v>
      </c>
      <c r="AD116" s="20">
        <f t="shared" si="126"/>
        <v>25.763173237568047</v>
      </c>
      <c r="AE116" s="43">
        <f t="shared" si="127"/>
        <v>-8.260347876668563</v>
      </c>
      <c r="AF116" t="str">
        <f t="shared" si="108"/>
        <v>72.2956529813786</v>
      </c>
      <c r="AG116" t="str">
        <f t="shared" si="109"/>
        <v>1+0.118447804899018i</v>
      </c>
      <c r="AH116">
        <f t="shared" si="128"/>
        <v>1.0069905076441366</v>
      </c>
      <c r="AI116">
        <f t="shared" si="129"/>
        <v>0.11789848540891787</v>
      </c>
      <c r="AJ116" t="str">
        <f t="shared" si="110"/>
        <v>1+0.0022561486647432i</v>
      </c>
      <c r="AK116">
        <f t="shared" si="130"/>
        <v>1.00000254510016</v>
      </c>
      <c r="AL116">
        <f t="shared" si="131"/>
        <v>2.2561448366671352E-3</v>
      </c>
      <c r="AM116" t="str">
        <f t="shared" si="111"/>
        <v>1-0.000290492892457398i</v>
      </c>
      <c r="AN116">
        <f t="shared" si="132"/>
        <v>1.0000000421930593</v>
      </c>
      <c r="AO116">
        <f t="shared" si="133"/>
        <v>-2.9049288428620903E-4</v>
      </c>
      <c r="AP116" s="41" t="str">
        <f t="shared" si="134"/>
        <v>71.3120333402401-8.30464544444301i</v>
      </c>
      <c r="AQ116">
        <f t="shared" si="135"/>
        <v>37.121758631993089</v>
      </c>
      <c r="AR116" s="43">
        <f t="shared" si="136"/>
        <v>-6.6424620640526344</v>
      </c>
      <c r="AS116" t="str">
        <f t="shared" si="112"/>
        <v>-0.0000166666666666667</v>
      </c>
      <c r="AT116" t="str">
        <f t="shared" si="113"/>
        <v>2.04013443088481E-06i</v>
      </c>
      <c r="AU116">
        <f t="shared" si="137"/>
        <v>2.0401344308848101E-6</v>
      </c>
      <c r="AV116">
        <f t="shared" si="138"/>
        <v>1.5707963267948966</v>
      </c>
      <c r="AW116" t="str">
        <f t="shared" si="114"/>
        <v>1+0.00203836960871277i</v>
      </c>
      <c r="AX116">
        <f t="shared" si="139"/>
        <v>1.0000020774731728</v>
      </c>
      <c r="AY116">
        <f t="shared" si="140"/>
        <v>2.0383667856114229E-3</v>
      </c>
      <c r="AZ116" t="str">
        <f t="shared" si="115"/>
        <v>1+0.069304566696234i</v>
      </c>
      <c r="BA116">
        <f t="shared" si="141"/>
        <v>1.0023986846384789</v>
      </c>
      <c r="BB116">
        <f t="shared" si="142"/>
        <v>6.919392592242174E-2</v>
      </c>
      <c r="BC116" s="41" t="str">
        <f t="shared" si="143"/>
        <v>-0.549521938216748+8.17051642660937i</v>
      </c>
      <c r="BD116">
        <f t="shared" si="144"/>
        <v>18.264591001619721</v>
      </c>
      <c r="BE116" s="43">
        <f t="shared" si="145"/>
        <v>93.847730109380436</v>
      </c>
      <c r="BF116" s="41" t="str">
        <f t="shared" si="146"/>
        <v>12.2329861678576+158.525444216875i</v>
      </c>
      <c r="BG116" s="20">
        <f t="shared" si="147"/>
        <v>44.027764239187768</v>
      </c>
      <c r="BH116" s="43">
        <f t="shared" si="148"/>
        <v>85.587382232711889</v>
      </c>
      <c r="BI116" s="41" t="str">
        <f t="shared" si="152"/>
        <v>28.6657152416822+587.21972468218i</v>
      </c>
      <c r="BJ116" s="20">
        <f t="shared" si="149"/>
        <v>55.386349633612809</v>
      </c>
      <c r="BK116" s="43">
        <f t="shared" si="153"/>
        <v>87.205268045327813</v>
      </c>
      <c r="BL116">
        <f t="shared" si="150"/>
        <v>44.027764239187768</v>
      </c>
      <c r="BM116" s="43">
        <f t="shared" si="151"/>
        <v>85.587382232711889</v>
      </c>
    </row>
    <row r="117" spans="14:65" x14ac:dyDescent="0.25">
      <c r="N117" s="9">
        <v>99</v>
      </c>
      <c r="O117" s="34">
        <f t="shared" si="116"/>
        <v>97.723722095581124</v>
      </c>
      <c r="P117" s="33" t="str">
        <f t="shared" si="103"/>
        <v>19.6196196196196</v>
      </c>
      <c r="Q117" s="4" t="str">
        <f t="shared" si="104"/>
        <v>1+0.148626967630279i</v>
      </c>
      <c r="R117" s="4">
        <f t="shared" si="117"/>
        <v>1.0109846564152059</v>
      </c>
      <c r="S117" s="4">
        <f t="shared" si="118"/>
        <v>0.14754685894470093</v>
      </c>
      <c r="T117" s="4" t="str">
        <f t="shared" si="105"/>
        <v>1+0.0023087011181753i</v>
      </c>
      <c r="U117" s="4">
        <f t="shared" si="119"/>
        <v>1.0000026650468754</v>
      </c>
      <c r="V117" s="4">
        <f t="shared" si="120"/>
        <v>2.3086970163184849E-3</v>
      </c>
      <c r="W117" t="str">
        <f t="shared" si="106"/>
        <v>1-0.00134316055744906i</v>
      </c>
      <c r="X117" s="4">
        <f t="shared" si="121"/>
        <v>1.0000009020397347</v>
      </c>
      <c r="Y117" s="4">
        <f t="shared" si="122"/>
        <v>-1.3431597497267746E-3</v>
      </c>
      <c r="Z117" t="str">
        <f t="shared" si="107"/>
        <v>0.999999990450074+0.000899095230292432i</v>
      </c>
      <c r="AA117" s="4">
        <f t="shared" si="123"/>
        <v>1.0000003946361129</v>
      </c>
      <c r="AB117" s="4">
        <f t="shared" si="124"/>
        <v>8.990949966109624E-4</v>
      </c>
      <c r="AC117" s="47" t="str">
        <f t="shared" si="125"/>
        <v>19.1958399312679-2.85171590390233i</v>
      </c>
      <c r="AD117" s="20">
        <f t="shared" si="126"/>
        <v>25.758947929946551</v>
      </c>
      <c r="AE117" s="43">
        <f t="shared" si="127"/>
        <v>-8.4500054362922903</v>
      </c>
      <c r="AF117" t="str">
        <f t="shared" si="108"/>
        <v>72.2956529813786</v>
      </c>
      <c r="AG117" t="str">
        <f t="shared" si="109"/>
        <v>1+0.121206808704203i</v>
      </c>
      <c r="AH117">
        <f t="shared" si="128"/>
        <v>1.0073187630915337</v>
      </c>
      <c r="AI117">
        <f t="shared" si="129"/>
        <v>0.12061843299205355</v>
      </c>
      <c r="AJ117" t="str">
        <f t="shared" si="110"/>
        <v>1+0.0023087011181753i</v>
      </c>
      <c r="AK117">
        <f t="shared" si="130"/>
        <v>1.0000026650468754</v>
      </c>
      <c r="AL117">
        <f t="shared" si="131"/>
        <v>2.3086970163184849E-3</v>
      </c>
      <c r="AM117" t="str">
        <f t="shared" si="111"/>
        <v>1-0.000297259341159022i</v>
      </c>
      <c r="AN117">
        <f t="shared" si="132"/>
        <v>1.0000000441815571</v>
      </c>
      <c r="AO117">
        <f t="shared" si="133"/>
        <v>-2.9725933240343526E-4</v>
      </c>
      <c r="AP117" s="41" t="str">
        <f t="shared" si="134"/>
        <v>71.2663479430229-8.49254810547373i</v>
      </c>
      <c r="AQ117">
        <f t="shared" si="135"/>
        <v>37.118928754808714</v>
      </c>
      <c r="AR117" s="43">
        <f t="shared" si="136"/>
        <v>-6.7956802518842929</v>
      </c>
      <c r="AS117" t="str">
        <f t="shared" si="112"/>
        <v>-0.0000166666666666667</v>
      </c>
      <c r="AT117" t="str">
        <f t="shared" si="113"/>
        <v>2.08765526643511E-06i</v>
      </c>
      <c r="AU117">
        <f t="shared" si="137"/>
        <v>2.0876552664351099E-6</v>
      </c>
      <c r="AV117">
        <f t="shared" si="138"/>
        <v>1.5707963267948966</v>
      </c>
      <c r="AW117" t="str">
        <f t="shared" si="114"/>
        <v>1+0.00208584933627384i</v>
      </c>
      <c r="AX117">
        <f t="shared" si="139"/>
        <v>1.0000021753813606</v>
      </c>
      <c r="AY117">
        <f t="shared" si="140"/>
        <v>2.0858463112666012E-3</v>
      </c>
      <c r="AZ117" t="str">
        <f t="shared" si="115"/>
        <v>1+0.0709188774333104i</v>
      </c>
      <c r="BA117">
        <f t="shared" si="141"/>
        <v>1.0025115895471737</v>
      </c>
      <c r="BB117">
        <f t="shared" si="142"/>
        <v>7.0800339743628177E-2</v>
      </c>
      <c r="BC117" s="41" t="str">
        <f t="shared" si="143"/>
        <v>-0.549521830611593+7.9845843546858i</v>
      </c>
      <c r="BD117">
        <f t="shared" si="144"/>
        <v>18.065568428973329</v>
      </c>
      <c r="BE117" s="43">
        <f t="shared" si="145"/>
        <v>93.93705046505373</v>
      </c>
      <c r="BF117" s="41" t="str">
        <f t="shared" si="146"/>
        <v>12.2212330911498+154.837883334151i</v>
      </c>
      <c r="BG117" s="20">
        <f t="shared" si="147"/>
        <v>43.824516358919865</v>
      </c>
      <c r="BH117" s="43">
        <f t="shared" si="148"/>
        <v>85.487045028761415</v>
      </c>
      <c r="BI117" s="41" t="str">
        <f t="shared" si="152"/>
        <v>28.6470527517294+573.699007382932i</v>
      </c>
      <c r="BJ117" s="20">
        <f t="shared" si="149"/>
        <v>55.184497183782042</v>
      </c>
      <c r="BK117" s="43">
        <f t="shared" si="153"/>
        <v>87.141370213169452</v>
      </c>
      <c r="BL117">
        <f t="shared" si="150"/>
        <v>43.824516358919865</v>
      </c>
      <c r="BM117" s="43">
        <f t="shared" si="151"/>
        <v>85.487045028761415</v>
      </c>
    </row>
    <row r="118" spans="14:65" x14ac:dyDescent="0.25">
      <c r="N118" s="9">
        <v>100</v>
      </c>
      <c r="O118" s="34">
        <f t="shared" si="116"/>
        <v>100</v>
      </c>
      <c r="P118" s="33" t="str">
        <f t="shared" si="103"/>
        <v>19.6196196196196</v>
      </c>
      <c r="Q118" s="4" t="str">
        <f t="shared" si="104"/>
        <v>1+0.152088934440003i</v>
      </c>
      <c r="R118" s="4">
        <f t="shared" si="117"/>
        <v>1.0114994038451508</v>
      </c>
      <c r="S118" s="4">
        <f t="shared" si="118"/>
        <v>0.15093228657160407</v>
      </c>
      <c r="T118" s="4" t="str">
        <f t="shared" si="105"/>
        <v>1+0.00236247767549952i</v>
      </c>
      <c r="U118" s="4">
        <f t="shared" si="119"/>
        <v>1.0000027906464899</v>
      </c>
      <c r="V118" s="4">
        <f t="shared" si="120"/>
        <v>2.3624732802814178E-3</v>
      </c>
      <c r="W118" t="str">
        <f t="shared" si="106"/>
        <v>1-0.00137444678594554i</v>
      </c>
      <c r="X118" s="4">
        <f t="shared" si="121"/>
        <v>1.0000009445515377</v>
      </c>
      <c r="Y118" s="4">
        <f t="shared" si="122"/>
        <v>-1.3744459204555622E-3</v>
      </c>
      <c r="Z118" t="str">
        <f t="shared" si="107"/>
        <v>0.99999999+0.000920037848551297i</v>
      </c>
      <c r="AA118" s="4">
        <f t="shared" si="123"/>
        <v>1.000000413234736</v>
      </c>
      <c r="AB118" s="4">
        <f t="shared" si="124"/>
        <v>9.2003759815709673E-4</v>
      </c>
      <c r="AC118" s="47" t="str">
        <f t="shared" si="125"/>
        <v>19.17631934108-2.91517203737386i</v>
      </c>
      <c r="AD118" s="20">
        <f t="shared" si="126"/>
        <v>25.754527893908168</v>
      </c>
      <c r="AE118" s="43">
        <f t="shared" si="127"/>
        <v>-8.643887486418274</v>
      </c>
      <c r="AF118" t="str">
        <f t="shared" si="108"/>
        <v>72.2956529813786</v>
      </c>
      <c r="AG118" t="str">
        <f t="shared" si="109"/>
        <v>1+0.124030077963725i</v>
      </c>
      <c r="AH118">
        <f t="shared" si="128"/>
        <v>1.0076623741311808</v>
      </c>
      <c r="AI118">
        <f t="shared" si="129"/>
        <v>0.12339988066162587</v>
      </c>
      <c r="AJ118" t="str">
        <f t="shared" si="110"/>
        <v>1+0.00236247767549952i</v>
      </c>
      <c r="AK118">
        <f t="shared" si="130"/>
        <v>1.0000027906464899</v>
      </c>
      <c r="AL118">
        <f t="shared" si="131"/>
        <v>2.3624732802814178E-3</v>
      </c>
      <c r="AM118" t="str">
        <f t="shared" si="111"/>
        <v>1-0.000304183400698021i</v>
      </c>
      <c r="AN118">
        <f t="shared" si="132"/>
        <v>1.0000000462637695</v>
      </c>
      <c r="AO118">
        <f t="shared" si="133"/>
        <v>-3.0418339131624083E-4</v>
      </c>
      <c r="AP118" s="41" t="str">
        <f t="shared" si="134"/>
        <v>71.2185732314398-8.68443946173613i</v>
      </c>
      <c r="AQ118">
        <f t="shared" si="135"/>
        <v>37.115967486131723</v>
      </c>
      <c r="AR118" s="43">
        <f t="shared" si="136"/>
        <v>-6.9523610306770314</v>
      </c>
      <c r="AS118" t="str">
        <f t="shared" si="112"/>
        <v>-0.0000166666666666667</v>
      </c>
      <c r="AT118" t="str">
        <f t="shared" si="113"/>
        <v>2.13628300444106E-06i</v>
      </c>
      <c r="AU118">
        <f t="shared" si="137"/>
        <v>2.1362830044410602E-6</v>
      </c>
      <c r="AV118">
        <f t="shared" si="138"/>
        <v>1.5707963267948966</v>
      </c>
      <c r="AW118" t="str">
        <f t="shared" si="114"/>
        <v>1+0.00213443500876248i</v>
      </c>
      <c r="AX118">
        <f t="shared" si="139"/>
        <v>1.0000022779038089</v>
      </c>
      <c r="AY118">
        <f t="shared" si="140"/>
        <v>2.1344317674092243E-3</v>
      </c>
      <c r="AZ118" t="str">
        <f t="shared" si="115"/>
        <v>1+0.0725707902979242i</v>
      </c>
      <c r="BA118">
        <f t="shared" si="141"/>
        <v>1.0026298018732862</v>
      </c>
      <c r="BB118">
        <f t="shared" si="142"/>
        <v>7.2443792861123332E-2</v>
      </c>
      <c r="BC118" s="41" t="str">
        <f t="shared" si="143"/>
        <v>-0.549521717935208+7.80288581505438i</v>
      </c>
      <c r="BD118">
        <f t="shared" si="144"/>
        <v>17.866591684927403</v>
      </c>
      <c r="BE118" s="43">
        <f t="shared" si="145"/>
        <v>94.028429650931145</v>
      </c>
      <c r="BF118" s="41" t="str">
        <f t="shared" si="146"/>
        <v>12.2089505908832+151.23258051752i</v>
      </c>
      <c r="BG118" s="20">
        <f t="shared" si="147"/>
        <v>43.621119578835554</v>
      </c>
      <c r="BH118" s="43">
        <f t="shared" si="148"/>
        <v>85.384542164512865</v>
      </c>
      <c r="BI118" s="41" t="str">
        <f t="shared" si="152"/>
        <v>28.6275367766441+560.482682928331i</v>
      </c>
      <c r="BJ118" s="20">
        <f t="shared" si="149"/>
        <v>54.982559171059123</v>
      </c>
      <c r="BK118" s="43">
        <f t="shared" si="153"/>
        <v>87.076068620254105</v>
      </c>
      <c r="BL118">
        <f t="shared" si="150"/>
        <v>43.621119578835554</v>
      </c>
      <c r="BM118" s="43">
        <f t="shared" si="151"/>
        <v>85.384542164512865</v>
      </c>
    </row>
    <row r="119" spans="14:65" x14ac:dyDescent="0.25">
      <c r="N119" s="9">
        <v>1</v>
      </c>
      <c r="O119" s="34">
        <f>10^(2+(N119/100))</f>
        <v>102.32929922807544</v>
      </c>
      <c r="P119" s="33" t="str">
        <f t="shared" si="103"/>
        <v>19.6196196196196</v>
      </c>
      <c r="Q119" s="4" t="str">
        <f t="shared" si="104"/>
        <v>1+0.155631540815902i</v>
      </c>
      <c r="R119" s="4">
        <f t="shared" si="117"/>
        <v>1.0120381299618764</v>
      </c>
      <c r="S119" s="4">
        <f t="shared" si="118"/>
        <v>0.15439296511424563</v>
      </c>
      <c r="T119" s="4" t="str">
        <f t="shared" si="105"/>
        <v>1+0.00241750684975839i</v>
      </c>
      <c r="U119" s="4">
        <f t="shared" si="119"/>
        <v>1.0000029221654148</v>
      </c>
      <c r="V119" s="4">
        <f t="shared" si="120"/>
        <v>2.417502140198086E-3</v>
      </c>
      <c r="W119" t="str">
        <f t="shared" si="106"/>
        <v>1-0.00140646176432087i</v>
      </c>
      <c r="X119" s="4">
        <f t="shared" si="121"/>
        <v>1.0000009890668582</v>
      </c>
      <c r="Y119" s="4">
        <f t="shared" si="122"/>
        <v>-1.4064608369316997E-3</v>
      </c>
      <c r="Z119" t="str">
        <f t="shared" si="107"/>
        <v>0.999999989528714+0.000941468283055603i</v>
      </c>
      <c r="AA119" s="4">
        <f t="shared" si="123"/>
        <v>1.0000004327098846</v>
      </c>
      <c r="AB119" s="4">
        <f t="shared" si="124"/>
        <v>9.4146801475339013E-4</v>
      </c>
      <c r="AC119" s="47" t="str">
        <f t="shared" si="125"/>
        <v>19.1559213065443-2.97990054248224i</v>
      </c>
      <c r="AD119" s="20">
        <f t="shared" si="126"/>
        <v>25.749904367265213</v>
      </c>
      <c r="AE119" s="43">
        <f t="shared" si="127"/>
        <v>-8.8420790317581393</v>
      </c>
      <c r="AF119" t="str">
        <f t="shared" si="108"/>
        <v>72.2956529813786</v>
      </c>
      <c r="AG119" t="str">
        <f t="shared" si="109"/>
        <v>1+0.126919109612315i</v>
      </c>
      <c r="AH119">
        <f t="shared" si="128"/>
        <v>1.0080220535210442</v>
      </c>
      <c r="AI119">
        <f t="shared" si="129"/>
        <v>0.12624413093749881</v>
      </c>
      <c r="AJ119" t="str">
        <f t="shared" si="110"/>
        <v>1+0.00241750684975839i</v>
      </c>
      <c r="AK119">
        <f t="shared" si="130"/>
        <v>1.0000029221654148</v>
      </c>
      <c r="AL119">
        <f t="shared" si="131"/>
        <v>2.417502140198086E-3</v>
      </c>
      <c r="AM119" t="str">
        <f t="shared" si="111"/>
        <v>1-0.000311268742302413i</v>
      </c>
      <c r="AN119">
        <f t="shared" si="132"/>
        <v>1.0000000484441138</v>
      </c>
      <c r="AO119">
        <f t="shared" si="133"/>
        <v>-3.1126873224965443E-4</v>
      </c>
      <c r="AP119" s="41" t="str">
        <f t="shared" si="134"/>
        <v>71.1686167487132-8.88038561077397i</v>
      </c>
      <c r="AQ119">
        <f t="shared" si="135"/>
        <v>37.112868821405435</v>
      </c>
      <c r="AR119" s="43">
        <f t="shared" si="136"/>
        <v>-7.1125776060707206</v>
      </c>
      <c r="AS119" t="str">
        <f t="shared" si="112"/>
        <v>-0.0000166666666666667</v>
      </c>
      <c r="AT119" t="str">
        <f t="shared" si="113"/>
        <v>2.18604342797301E-06i</v>
      </c>
      <c r="AU119">
        <f t="shared" si="137"/>
        <v>2.18604342797301E-6</v>
      </c>
      <c r="AV119">
        <f t="shared" si="138"/>
        <v>1.5707963267948966</v>
      </c>
      <c r="AW119" t="str">
        <f t="shared" si="114"/>
        <v>1+0.00218415238694536i</v>
      </c>
      <c r="AX119">
        <f t="shared" si="139"/>
        <v>1.00000238525798</v>
      </c>
      <c r="AY119">
        <f t="shared" si="140"/>
        <v>2.1841489137732185E-3</v>
      </c>
      <c r="AZ119" t="str">
        <f t="shared" si="115"/>
        <v>1+0.074261181156142i</v>
      </c>
      <c r="BA119">
        <f t="shared" si="141"/>
        <v>1.0027535704382735</v>
      </c>
      <c r="BB119">
        <f t="shared" si="142"/>
        <v>7.4125121124661034E-2</v>
      </c>
      <c r="BC119" s="41" t="str">
        <f t="shared" si="143"/>
        <v>-0.549521599948599+7.62532446874285i</v>
      </c>
      <c r="BD119">
        <f t="shared" si="144"/>
        <v>17.667662906658009</v>
      </c>
      <c r="BE119" s="43">
        <f t="shared" si="145"/>
        <v>94.121914081751797</v>
      </c>
      <c r="BF119" s="41" t="str">
        <f t="shared" si="146"/>
        <v>12.1961159961482+147.707635173897i</v>
      </c>
      <c r="BG119" s="20">
        <f t="shared" si="147"/>
        <v>43.417567273923197</v>
      </c>
      <c r="BH119" s="43">
        <f t="shared" si="148"/>
        <v>85.279835049993679</v>
      </c>
      <c r="BI119" s="41" t="str">
        <f t="shared" si="152"/>
        <v>28.6071295478251+547.563758409538i</v>
      </c>
      <c r="BJ119" s="20">
        <f t="shared" si="149"/>
        <v>54.780531728063444</v>
      </c>
      <c r="BK119" s="43">
        <f t="shared" si="153"/>
        <v>87.009336475681096</v>
      </c>
      <c r="BL119">
        <f t="shared" si="150"/>
        <v>43.417567273923197</v>
      </c>
      <c r="BM119" s="43">
        <f t="shared" si="151"/>
        <v>85.279835049993679</v>
      </c>
    </row>
    <row r="120" spans="14:65" x14ac:dyDescent="0.25">
      <c r="N120" s="9">
        <v>2</v>
      </c>
      <c r="O120" s="34">
        <f t="shared" ref="O120:O183" si="154">10^(2+(N120/100))</f>
        <v>104.71285480508998</v>
      </c>
      <c r="P120" s="33" t="str">
        <f t="shared" si="103"/>
        <v>19.6196196196196</v>
      </c>
      <c r="Q120" s="4" t="str">
        <f t="shared" si="104"/>
        <v>1+0.159256665094769i</v>
      </c>
      <c r="R120" s="4">
        <f t="shared" si="117"/>
        <v>1.0126019382645419</v>
      </c>
      <c r="S120" s="4">
        <f t="shared" si="118"/>
        <v>0.15793039773069795</v>
      </c>
      <c r="T120" s="4" t="str">
        <f t="shared" si="105"/>
        <v>1+0.00247381781814848i</v>
      </c>
      <c r="U120" s="4">
        <f t="shared" si="119"/>
        <v>1.0000030598826173</v>
      </c>
      <c r="V120" s="4">
        <f t="shared" si="120"/>
        <v>2.4738127717645292E-3</v>
      </c>
      <c r="W120" t="str">
        <f t="shared" si="106"/>
        <v>1-0.00143922246734037i</v>
      </c>
      <c r="X120" s="4">
        <f t="shared" si="121"/>
        <v>1.000001035680119</v>
      </c>
      <c r="Y120" s="4">
        <f t="shared" si="122"/>
        <v>-1.4392214736250262E-3</v>
      </c>
      <c r="Z120" t="str">
        <f t="shared" si="107"/>
        <v>0.999999989035218+0.000963397896505393i</v>
      </c>
      <c r="AA120" s="4">
        <f t="shared" si="123"/>
        <v>1.000000453102869</v>
      </c>
      <c r="AB120" s="4">
        <f t="shared" si="124"/>
        <v>9.6339760901439876E-4</v>
      </c>
      <c r="AC120" s="47" t="str">
        <f t="shared" si="125"/>
        <v>19.1346084296115-3.04591712820765i</v>
      </c>
      <c r="AD120" s="20">
        <f t="shared" si="126"/>
        <v>25.745068213505835</v>
      </c>
      <c r="AE120" s="43">
        <f t="shared" si="127"/>
        <v>-9.0446661488766456</v>
      </c>
      <c r="AF120" t="str">
        <f t="shared" si="108"/>
        <v>72.2956529813786</v>
      </c>
      <c r="AG120" t="str">
        <f t="shared" si="109"/>
        <v>1+0.129875435452795i</v>
      </c>
      <c r="AH120">
        <f t="shared" si="128"/>
        <v>1.0083985465747425</v>
      </c>
      <c r="AI120">
        <f t="shared" si="129"/>
        <v>0.12915250770611028</v>
      </c>
      <c r="AJ120" t="str">
        <f t="shared" si="110"/>
        <v>1+0.00247381781814848i</v>
      </c>
      <c r="AK120">
        <f t="shared" si="130"/>
        <v>1.0000030598826173</v>
      </c>
      <c r="AL120">
        <f t="shared" si="131"/>
        <v>2.4738127717645292E-3</v>
      </c>
      <c r="AM120" t="str">
        <f t="shared" si="111"/>
        <v>1-0.000318519122714104i</v>
      </c>
      <c r="AN120">
        <f t="shared" si="132"/>
        <v>1.0000000507272144</v>
      </c>
      <c r="AO120">
        <f t="shared" si="133"/>
        <v>-3.185191119423791E-4</v>
      </c>
      <c r="AP120" s="41" t="str">
        <f t="shared" si="134"/>
        <v>71.1163822397708-9.08045238466131i</v>
      </c>
      <c r="AQ120">
        <f t="shared" si="135"/>
        <v>37.109626490768413</v>
      </c>
      <c r="AR120" s="43">
        <f t="shared" si="136"/>
        <v>-7.2764043747718476</v>
      </c>
      <c r="AS120" t="str">
        <f t="shared" si="112"/>
        <v>-0.0000166666666666667</v>
      </c>
      <c r="AT120" t="str">
        <f t="shared" si="113"/>
        <v>2.23696292066618E-06i</v>
      </c>
      <c r="AU120">
        <f t="shared" si="137"/>
        <v>2.2369629206661801E-6</v>
      </c>
      <c r="AV120">
        <f t="shared" si="138"/>
        <v>1.5707963267948966</v>
      </c>
      <c r="AW120" t="str">
        <f t="shared" si="114"/>
        <v>1+0.00223502783163447i</v>
      </c>
      <c r="AX120">
        <f t="shared" si="139"/>
        <v>1.0000024976715849</v>
      </c>
      <c r="AY120">
        <f t="shared" si="140"/>
        <v>2.2350241100639726E-3</v>
      </c>
      <c r="AZ120" t="str">
        <f t="shared" si="115"/>
        <v>1+0.0759909462755717i</v>
      </c>
      <c r="BA120">
        <f t="shared" si="141"/>
        <v>1.0028831556646352</v>
      </c>
      <c r="BB120">
        <f t="shared" si="142"/>
        <v>7.5845177952334517E-2</v>
      </c>
      <c r="BC120" s="41" t="str">
        <f t="shared" si="143"/>
        <v>-0.549521476401506+7.45180617037345i</v>
      </c>
      <c r="BD120">
        <f t="shared" si="144"/>
        <v>17.468784329895009</v>
      </c>
      <c r="BE120" s="43">
        <f t="shared" si="145"/>
        <v>94.217551144470789</v>
      </c>
      <c r="BF120" s="41" t="str">
        <f t="shared" si="146"/>
        <v>12.1827057758191+144.261190040748i</v>
      </c>
      <c r="BG120" s="20">
        <f t="shared" si="147"/>
        <v>43.213852543400833</v>
      </c>
      <c r="BH120" s="43">
        <f t="shared" si="148"/>
        <v>85.17288499559416</v>
      </c>
      <c r="BI120" s="41" t="str">
        <f t="shared" si="152"/>
        <v>28.5857917450688+534.935399589774i</v>
      </c>
      <c r="BJ120" s="20">
        <f t="shared" si="149"/>
        <v>54.578410820663422</v>
      </c>
      <c r="BK120" s="43">
        <f t="shared" si="153"/>
        <v>86.94114676969896</v>
      </c>
      <c r="BL120">
        <f t="shared" si="150"/>
        <v>43.213852543400833</v>
      </c>
      <c r="BM120" s="43">
        <f t="shared" si="151"/>
        <v>85.17288499559416</v>
      </c>
    </row>
    <row r="121" spans="14:65" x14ac:dyDescent="0.25">
      <c r="N121" s="9">
        <v>3</v>
      </c>
      <c r="O121" s="34">
        <f t="shared" si="154"/>
        <v>107.15193052376065</v>
      </c>
      <c r="P121" s="33" t="str">
        <f t="shared" si="103"/>
        <v>19.6196196196196</v>
      </c>
      <c r="Q121" s="4" t="str">
        <f t="shared" si="104"/>
        <v>1+0.16296622936548i</v>
      </c>
      <c r="R121" s="4">
        <f t="shared" si="117"/>
        <v>1.0131919817653525</v>
      </c>
      <c r="S121" s="4">
        <f t="shared" si="118"/>
        <v>0.16154610570997832</v>
      </c>
      <c r="T121" s="4" t="str">
        <f t="shared" si="105"/>
        <v>1+0.0025314404374906i</v>
      </c>
      <c r="U121" s="4">
        <f t="shared" si="119"/>
        <v>1.0000032040902112</v>
      </c>
      <c r="V121" s="4">
        <f t="shared" si="120"/>
        <v>2.5314350301937107E-3</v>
      </c>
      <c r="W121" t="str">
        <f t="shared" si="106"/>
        <v>1-0.00147274626516242i</v>
      </c>
      <c r="X121" s="4">
        <f t="shared" si="121"/>
        <v>1.0000010844901928</v>
      </c>
      <c r="Y121" s="4">
        <f t="shared" si="122"/>
        <v>-1.4727452003773078E-3</v>
      </c>
      <c r="Z121" t="str">
        <f t="shared" si="107"/>
        <v>0.999999988518464+0.000985838316271987i</v>
      </c>
      <c r="AA121" s="4">
        <f t="shared" si="123"/>
        <v>1.0000004744569442</v>
      </c>
      <c r="AB121" s="4">
        <f t="shared" si="124"/>
        <v>9.8583800821984446E-4</v>
      </c>
      <c r="AC121" s="47" t="str">
        <f t="shared" si="125"/>
        <v>19.1123419099434-3.11323696492863i</v>
      </c>
      <c r="AD121" s="20">
        <f t="shared" si="126"/>
        <v>25.740009907675923</v>
      </c>
      <c r="AE121" s="43">
        <f t="shared" si="127"/>
        <v>-9.2517359520486799</v>
      </c>
      <c r="AF121" t="str">
        <f t="shared" si="108"/>
        <v>72.2956529813786</v>
      </c>
      <c r="AG121" t="str">
        <f t="shared" si="109"/>
        <v>1+0.132900622968257i</v>
      </c>
      <c r="AH121">
        <f t="shared" si="128"/>
        <v>1.0087926325986678</v>
      </c>
      <c r="AI121">
        <f t="shared" si="129"/>
        <v>0.13212635611492876</v>
      </c>
      <c r="AJ121" t="str">
        <f t="shared" si="110"/>
        <v>1+0.0025314404374906i</v>
      </c>
      <c r="AK121">
        <f t="shared" si="130"/>
        <v>1.0000032040902112</v>
      </c>
      <c r="AL121">
        <f t="shared" si="131"/>
        <v>2.5314350301937107E-3</v>
      </c>
      <c r="AM121" t="str">
        <f t="shared" si="111"/>
        <v>1-0.000325938386180756i</v>
      </c>
      <c r="AN121">
        <f t="shared" si="132"/>
        <v>1.0000000531179145</v>
      </c>
      <c r="AO121">
        <f t="shared" si="133"/>
        <v>-3.2593837463864493E-4</v>
      </c>
      <c r="AP121" s="41" t="str">
        <f t="shared" si="134"/>
        <v>71.0617695231944-9.28470522790802i</v>
      </c>
      <c r="AQ121">
        <f t="shared" si="135"/>
        <v>37.106233948194493</v>
      </c>
      <c r="AR121" s="43">
        <f t="shared" si="136"/>
        <v>-7.4439169177344313</v>
      </c>
      <c r="AS121" t="str">
        <f t="shared" si="112"/>
        <v>-0.0000166666666666667</v>
      </c>
      <c r="AT121" t="str">
        <f t="shared" si="113"/>
        <v>2.28906848070959E-06i</v>
      </c>
      <c r="AU121">
        <f t="shared" si="137"/>
        <v>2.2890684807095898E-6</v>
      </c>
      <c r="AV121">
        <f t="shared" si="138"/>
        <v>1.5707963267948966</v>
      </c>
      <c r="AW121" t="str">
        <f t="shared" si="114"/>
        <v>1+0.002287088317664i</v>
      </c>
      <c r="AX121">
        <f t="shared" si="139"/>
        <v>1.0000026153830663</v>
      </c>
      <c r="AY121">
        <f t="shared" si="140"/>
        <v>2.2870843299299293E-3</v>
      </c>
      <c r="AZ121" t="str">
        <f t="shared" si="115"/>
        <v>1+0.0777610028005758i</v>
      </c>
      <c r="BA121">
        <f t="shared" si="141"/>
        <v>1.0030188301106571</v>
      </c>
      <c r="BB121">
        <f t="shared" si="142"/>
        <v>7.7604834606636378E-2</v>
      </c>
      <c r="BC121" s="41" t="str">
        <f t="shared" si="143"/>
        <v>-0.549521347031878+7.28223891824585i</v>
      </c>
      <c r="BD121">
        <f t="shared" si="144"/>
        <v>17.269958293360318</v>
      </c>
      <c r="BE121" s="43">
        <f t="shared" si="145"/>
        <v>94.315389213275566</v>
      </c>
      <c r="BF121" s="41" t="str">
        <f t="shared" si="146"/>
        <v>12.1686955164389+140.891430246008i</v>
      </c>
      <c r="BG121" s="20">
        <f t="shared" si="147"/>
        <v>43.009968201036237</v>
      </c>
      <c r="BH121" s="43">
        <f t="shared" si="148"/>
        <v>85.063653261226904</v>
      </c>
      <c r="BI121" s="41" t="str">
        <f t="shared" si="152"/>
        <v>28.5634824442578+522.590927344857i</v>
      </c>
      <c r="BJ121" s="20">
        <f t="shared" si="149"/>
        <v>54.376192241554804</v>
      </c>
      <c r="BK121" s="43">
        <f t="shared" si="153"/>
        <v>86.871472295541139</v>
      </c>
      <c r="BL121">
        <f t="shared" si="150"/>
        <v>43.009968201036237</v>
      </c>
      <c r="BM121" s="43">
        <f t="shared" si="151"/>
        <v>85.063653261226904</v>
      </c>
    </row>
    <row r="122" spans="14:65" x14ac:dyDescent="0.25">
      <c r="N122" s="9">
        <v>4</v>
      </c>
      <c r="O122" s="34">
        <f t="shared" si="154"/>
        <v>109.64781961431861</v>
      </c>
      <c r="P122" s="33" t="str">
        <f t="shared" si="103"/>
        <v>19.6196196196196</v>
      </c>
      <c r="Q122" s="4" t="str">
        <f t="shared" si="104"/>
        <v>1+0.166762200488114i</v>
      </c>
      <c r="R122" s="4">
        <f t="shared" si="117"/>
        <v>1.0138094650927449</v>
      </c>
      <c r="S122" s="4">
        <f t="shared" si="118"/>
        <v>0.16524162780064752</v>
      </c>
      <c r="T122" s="4" t="str">
        <f t="shared" si="105"/>
        <v>1+0.00259040526006026i</v>
      </c>
      <c r="U122" s="4">
        <f t="shared" si="119"/>
        <v>1.0000033550940775</v>
      </c>
      <c r="V122" s="4">
        <f t="shared" si="120"/>
        <v>2.5903994660383036E-3</v>
      </c>
      <c r="W122" t="str">
        <f t="shared" si="106"/>
        <v>1-0.00150705093254836i</v>
      </c>
      <c r="X122" s="4">
        <f t="shared" si="121"/>
        <v>1.000001135600612</v>
      </c>
      <c r="Y122" s="4">
        <f t="shared" si="122"/>
        <v>-1.5070497916106261E-3</v>
      </c>
      <c r="Z122" t="str">
        <f t="shared" si="107"/>
        <v>0.999999987977356+0.00100880144056298i</v>
      </c>
      <c r="AA122" s="4">
        <f t="shared" si="123"/>
        <v>1.0000004968174057</v>
      </c>
      <c r="AB122" s="4">
        <f t="shared" si="124"/>
        <v>1.0088011104791709E-3</v>
      </c>
      <c r="AC122" s="47" t="str">
        <f t="shared" si="125"/>
        <v>19.089081510567-3.1818746176911i</v>
      </c>
      <c r="AD122" s="20">
        <f t="shared" si="126"/>
        <v>25.734719521906161</v>
      </c>
      <c r="AE122" s="43">
        <f t="shared" si="127"/>
        <v>-9.463376554765663</v>
      </c>
      <c r="AF122" t="str">
        <f t="shared" si="108"/>
        <v>72.2956529813786</v>
      </c>
      <c r="AG122" t="str">
        <f t="shared" si="109"/>
        <v>1+0.135996276153164i</v>
      </c>
      <c r="AH122">
        <f t="shared" si="128"/>
        <v>1.0092051263878556</v>
      </c>
      <c r="AI122">
        <f t="shared" si="129"/>
        <v>0.13516704242582536</v>
      </c>
      <c r="AJ122" t="str">
        <f t="shared" si="110"/>
        <v>1+0.00259040526006026i</v>
      </c>
      <c r="AK122">
        <f t="shared" si="130"/>
        <v>1.0000033550940775</v>
      </c>
      <c r="AL122">
        <f t="shared" si="131"/>
        <v>2.5903994660383036E-3</v>
      </c>
      <c r="AM122" t="str">
        <f t="shared" si="111"/>
        <v>1-0.000333530466494066i</v>
      </c>
      <c r="AN122">
        <f t="shared" si="132"/>
        <v>1.0000000556212845</v>
      </c>
      <c r="AO122">
        <f t="shared" si="133"/>
        <v>-3.3353045412647114E-4</v>
      </c>
      <c r="AP122" s="41" t="str">
        <f t="shared" si="134"/>
        <v>71.0046743616244-9.49320906575088i</v>
      </c>
      <c r="AQ122">
        <f t="shared" si="135"/>
        <v>37.102684360270494</v>
      </c>
      <c r="AR122" s="43">
        <f t="shared" si="136"/>
        <v>-7.615191990969131</v>
      </c>
      <c r="AS122" t="str">
        <f t="shared" si="112"/>
        <v>-0.0000166666666666667</v>
      </c>
      <c r="AT122" t="str">
        <f t="shared" si="113"/>
        <v>2.34238773516088E-06i</v>
      </c>
      <c r="AU122">
        <f t="shared" si="137"/>
        <v>2.3423877351608798E-6</v>
      </c>
      <c r="AV122">
        <f t="shared" si="138"/>
        <v>1.5707963267948966</v>
      </c>
      <c r="AW122" t="str">
        <f t="shared" si="114"/>
        <v>1+0.00234036144819275i</v>
      </c>
      <c r="AX122">
        <f t="shared" si="139"/>
        <v>1.000002738642104</v>
      </c>
      <c r="AY122">
        <f t="shared" si="140"/>
        <v>2.3403571752593408E-3</v>
      </c>
      <c r="AZ122" t="str">
        <f t="shared" si="115"/>
        <v>1+0.0795722892385533i</v>
      </c>
      <c r="BA122">
        <f t="shared" si="141"/>
        <v>1.0031608790292132</v>
      </c>
      <c r="BB122">
        <f t="shared" si="142"/>
        <v>7.9404980467762315E-2</v>
      </c>
      <c r="BC122" s="41" t="str">
        <f t="shared" si="143"/>
        <v>-0.549521211565311+7.11653280555663i</v>
      </c>
      <c r="BD122">
        <f t="shared" si="144"/>
        <v>17.071187243395702</v>
      </c>
      <c r="BE122" s="43">
        <f t="shared" si="145"/>
        <v>94.415477664425978</v>
      </c>
      <c r="BF122" s="41" t="str">
        <f t="shared" si="146"/>
        <v>12.1540599006109+137.596582392857i</v>
      </c>
      <c r="BG122" s="20">
        <f t="shared" si="147"/>
        <v>42.805906765301856</v>
      </c>
      <c r="BH122" s="43">
        <f t="shared" si="148"/>
        <v>84.952101109660333</v>
      </c>
      <c r="BI122" s="41" t="str">
        <f t="shared" si="152"/>
        <v>28.5401590644235+510.52381418982i</v>
      </c>
      <c r="BJ122" s="20">
        <f t="shared" si="149"/>
        <v>54.173871603666193</v>
      </c>
      <c r="BK122" s="43">
        <f t="shared" si="153"/>
        <v>86.80028567345687</v>
      </c>
      <c r="BL122">
        <f t="shared" si="150"/>
        <v>42.805906765301856</v>
      </c>
      <c r="BM122" s="43">
        <f t="shared" si="151"/>
        <v>84.952101109660333</v>
      </c>
    </row>
    <row r="123" spans="14:65" x14ac:dyDescent="0.25">
      <c r="N123" s="9">
        <v>5</v>
      </c>
      <c r="O123" s="34">
        <f t="shared" si="154"/>
        <v>112.20184543019634</v>
      </c>
      <c r="P123" s="33" t="str">
        <f t="shared" si="103"/>
        <v>19.6196196196196</v>
      </c>
      <c r="Q123" s="4" t="str">
        <f t="shared" si="104"/>
        <v>1+0.170646591136805i</v>
      </c>
      <c r="R123" s="4">
        <f t="shared" si="117"/>
        <v>1.0144556466729395</v>
      </c>
      <c r="S123" s="4">
        <f t="shared" si="118"/>
        <v>0.16901851945855137</v>
      </c>
      <c r="T123" s="4" t="str">
        <f t="shared" si="105"/>
        <v>1+0.00265074354978687i</v>
      </c>
      <c r="U123" s="4">
        <f t="shared" si="119"/>
        <v>1.000003513214512</v>
      </c>
      <c r="V123" s="4">
        <f t="shared" si="120"/>
        <v>2.6507373413816667E-3</v>
      </c>
      <c r="W123" t="str">
        <f t="shared" si="106"/>
        <v>1-0.00154215465828691i</v>
      </c>
      <c r="X123" s="4">
        <f t="shared" si="121"/>
        <v>1.000001189119788</v>
      </c>
      <c r="Y123" s="4">
        <f t="shared" si="122"/>
        <v>-1.5421534357501806E-3</v>
      </c>
      <c r="Z123" t="str">
        <f t="shared" si="107"/>
        <v>0.999999987410746+0.00103229944473083i</v>
      </c>
      <c r="AA123" s="4">
        <f t="shared" si="123"/>
        <v>1.0000005202316826</v>
      </c>
      <c r="AB123" s="4">
        <f t="shared" si="124"/>
        <v>1.0322990910396662E-3</v>
      </c>
      <c r="AC123" s="47" t="str">
        <f t="shared" si="125"/>
        <v>19.0647855245547-3.25184397521672i</v>
      </c>
      <c r="AD123" s="20">
        <f t="shared" si="126"/>
        <v>25.729186710594188</v>
      </c>
      <c r="AE123" s="43">
        <f t="shared" si="127"/>
        <v>-9.6796770266077719</v>
      </c>
      <c r="AF123" t="str">
        <f t="shared" si="108"/>
        <v>72.2956529813786</v>
      </c>
      <c r="AG123" t="str">
        <f t="shared" si="109"/>
        <v>1+0.139164036363811i</v>
      </c>
      <c r="AH123">
        <f t="shared" si="128"/>
        <v>1.0096368797825623</v>
      </c>
      <c r="AI123">
        <f t="shared" si="129"/>
        <v>0.13827595382415814</v>
      </c>
      <c r="AJ123" t="str">
        <f t="shared" si="110"/>
        <v>1+0.00265074354978687i</v>
      </c>
      <c r="AK123">
        <f t="shared" si="130"/>
        <v>1.000003513214512</v>
      </c>
      <c r="AL123">
        <f t="shared" si="131"/>
        <v>2.6507373413816667E-3</v>
      </c>
      <c r="AM123" t="str">
        <f t="shared" si="111"/>
        <v>1-0.000341299389075508i</v>
      </c>
      <c r="AN123">
        <f t="shared" si="132"/>
        <v>1.0000000582426347</v>
      </c>
      <c r="AO123">
        <f t="shared" si="133"/>
        <v>-3.4129937582339144E-4</v>
      </c>
      <c r="AP123" s="41" t="str">
        <f t="shared" si="134"/>
        <v>70.9449883309247-9.70602816229229i</v>
      </c>
      <c r="AQ123">
        <f t="shared" si="135"/>
        <v>37.098970594607913</v>
      </c>
      <c r="AR123" s="43">
        <f t="shared" si="136"/>
        <v>-7.7903075137963462</v>
      </c>
      <c r="AS123" t="str">
        <f t="shared" si="112"/>
        <v>-0.0000166666666666667</v>
      </c>
      <c r="AT123" t="str">
        <f t="shared" si="113"/>
        <v>2.39694895459451E-06i</v>
      </c>
      <c r="AU123">
        <f t="shared" si="137"/>
        <v>2.3969489545945102E-6</v>
      </c>
      <c r="AV123">
        <f t="shared" si="138"/>
        <v>1.5707963267948966</v>
      </c>
      <c r="AW123" t="str">
        <f t="shared" si="114"/>
        <v>1+0.00239487546933968i</v>
      </c>
      <c r="AX123">
        <f t="shared" si="139"/>
        <v>1.0000028677101449</v>
      </c>
      <c r="AY123">
        <f t="shared" si="140"/>
        <v>2.3948708908097514E-3</v>
      </c>
      <c r="AZ123" t="str">
        <f t="shared" si="115"/>
        <v>1+0.0814257659575489i</v>
      </c>
      <c r="BA123">
        <f t="shared" si="141"/>
        <v>1.0033096009516571</v>
      </c>
      <c r="BB123">
        <f t="shared" si="142"/>
        <v>8.124652330347891E-2</v>
      </c>
      <c r="BC123" s="41" t="str">
        <f t="shared" si="143"/>
        <v>-0.549521069714476+6.9545999727295i</v>
      </c>
      <c r="BD123">
        <f t="shared" si="144"/>
        <v>16.872473738787313</v>
      </c>
      <c r="BE123" s="43">
        <f t="shared" si="145"/>
        <v>94.517866890878494</v>
      </c>
      <c r="BF123" s="41" t="str">
        <f t="shared" si="146"/>
        <v>12.1387726860324+134.374913668968i</v>
      </c>
      <c r="BG123" s="20">
        <f t="shared" si="147"/>
        <v>42.601660449381534</v>
      </c>
      <c r="BH123" s="43">
        <f t="shared" si="148"/>
        <v>84.83818986427076</v>
      </c>
      <c r="BI123" s="41" t="str">
        <f t="shared" si="152"/>
        <v>28.515777314299+498.727680889965i</v>
      </c>
      <c r="BJ123" s="20">
        <f t="shared" si="149"/>
        <v>53.971444333395226</v>
      </c>
      <c r="BK123" s="43">
        <f t="shared" si="153"/>
        <v>86.727559377082144</v>
      </c>
      <c r="BL123">
        <f t="shared" si="150"/>
        <v>42.601660449381534</v>
      </c>
      <c r="BM123" s="43">
        <f t="shared" si="151"/>
        <v>84.83818986427076</v>
      </c>
    </row>
    <row r="124" spans="14:65" x14ac:dyDescent="0.25">
      <c r="N124" s="9">
        <v>6</v>
      </c>
      <c r="O124" s="34">
        <f t="shared" si="154"/>
        <v>114.81536214968835</v>
      </c>
      <c r="P124" s="33" t="str">
        <f t="shared" si="103"/>
        <v>19.6196196196196</v>
      </c>
      <c r="Q124" s="4" t="str">
        <f t="shared" si="104"/>
        <v>1+0.174621460866892i</v>
      </c>
      <c r="R124" s="4">
        <f t="shared" si="117"/>
        <v>1.015131840991744</v>
      </c>
      <c r="S124" s="4">
        <f t="shared" si="118"/>
        <v>0.17287835200861501</v>
      </c>
      <c r="T124" s="4" t="str">
        <f t="shared" si="105"/>
        <v>1+0.00271248729883031i</v>
      </c>
      <c r="U124" s="4">
        <f t="shared" si="119"/>
        <v>1.0000036787869064</v>
      </c>
      <c r="V124" s="4">
        <f t="shared" si="120"/>
        <v>2.7124806464056015E-3</v>
      </c>
      <c r="W124" t="str">
        <f t="shared" si="106"/>
        <v>1-0.00157807605483812i</v>
      </c>
      <c r="X124" s="4">
        <f t="shared" si="121"/>
        <v>1.0000012451612421</v>
      </c>
      <c r="Y124" s="4">
        <f t="shared" si="122"/>
        <v>-1.5780747448665012E-3</v>
      </c>
      <c r="Z124" t="str">
        <f t="shared" si="107"/>
        <v>0.999999986817433+0.00105634478772837i</v>
      </c>
      <c r="AA124" s="4">
        <f t="shared" si="123"/>
        <v>1.00000054474944</v>
      </c>
      <c r="AB124" s="4">
        <f t="shared" si="124"/>
        <v>1.0563444087414709E-3</v>
      </c>
      <c r="AC124" s="47" t="str">
        <f t="shared" si="125"/>
        <v>19.0394107429784-3.32315817448269i</v>
      </c>
      <c r="AD124" s="20">
        <f t="shared" si="126"/>
        <v>25.723400695254035</v>
      </c>
      <c r="AE124" s="43">
        <f t="shared" si="127"/>
        <v>-9.9007273451907984</v>
      </c>
      <c r="AF124" t="str">
        <f t="shared" si="108"/>
        <v>72.2956529813786</v>
      </c>
      <c r="AG124" t="str">
        <f t="shared" si="109"/>
        <v>1+0.142405583188592i</v>
      </c>
      <c r="AH124">
        <f t="shared" si="128"/>
        <v>1.01008878328753</v>
      </c>
      <c r="AI124">
        <f t="shared" si="129"/>
        <v>0.14145449818018624</v>
      </c>
      <c r="AJ124" t="str">
        <f t="shared" si="110"/>
        <v>1+0.00271248729883031i</v>
      </c>
      <c r="AK124">
        <f t="shared" si="130"/>
        <v>1.0000036787869064</v>
      </c>
      <c r="AL124">
        <f t="shared" si="131"/>
        <v>2.7124806464056015E-3</v>
      </c>
      <c r="AM124" t="str">
        <f t="shared" si="111"/>
        <v>1-0.00034924927311067i</v>
      </c>
      <c r="AN124">
        <f t="shared" si="132"/>
        <v>1.0000000609875255</v>
      </c>
      <c r="AO124">
        <f t="shared" si="133"/>
        <v>-3.4924925891077128E-4</v>
      </c>
      <c r="AP124" s="41" t="str">
        <f t="shared" si="134"/>
        <v>70.8825986884489-9.92322596793167i</v>
      </c>
      <c r="AQ124">
        <f t="shared" si="135"/>
        <v>37.095085207885347</v>
      </c>
      <c r="AR124" s="43">
        <f t="shared" si="136"/>
        <v>-7.9693425543493577</v>
      </c>
      <c r="AS124" t="str">
        <f t="shared" si="112"/>
        <v>-0.0000166666666666667</v>
      </c>
      <c r="AT124" t="str">
        <f t="shared" si="113"/>
        <v>2.45278106809125E-06i</v>
      </c>
      <c r="AU124">
        <f t="shared" si="137"/>
        <v>2.45278106809125E-6</v>
      </c>
      <c r="AV124">
        <f t="shared" si="138"/>
        <v>1.5707963267948966</v>
      </c>
      <c r="AW124" t="str">
        <f t="shared" si="114"/>
        <v>1+0.00245065928516037i</v>
      </c>
      <c r="AX124">
        <f t="shared" si="139"/>
        <v>1.0000030028609574</v>
      </c>
      <c r="AY124">
        <f t="shared" si="140"/>
        <v>2.4506543791779577E-3</v>
      </c>
      <c r="AZ124" t="str">
        <f t="shared" si="115"/>
        <v>1+0.0833224156954526i</v>
      </c>
      <c r="BA124">
        <f t="shared" si="141"/>
        <v>1.0034653082978633</v>
      </c>
      <c r="BB124">
        <f t="shared" si="142"/>
        <v>8.3130389534818883E-2</v>
      </c>
      <c r="BC124" s="41" t="str">
        <f t="shared" si="143"/>
        <v>-0.549520921178493+6.79635456083086i</v>
      </c>
      <c r="BD124">
        <f t="shared" si="144"/>
        <v>16.6738204557941</v>
      </c>
      <c r="BE124" s="43">
        <f t="shared" si="145"/>
        <v>94.622608316651466</v>
      </c>
      <c r="BF124" s="41" t="str">
        <f t="shared" si="146"/>
        <v>12.1228066853306+131.224730979837i</v>
      </c>
      <c r="BG124" s="20">
        <f t="shared" si="147"/>
        <v>42.397221151048143</v>
      </c>
      <c r="BH124" s="43">
        <f t="shared" si="148"/>
        <v>84.721880971460678</v>
      </c>
      <c r="BI124" s="41" t="str">
        <f t="shared" si="152"/>
        <v>28.4902911385057+487.196293154743i</v>
      </c>
      <c r="BJ124" s="20">
        <f t="shared" si="149"/>
        <v>53.76890566367944</v>
      </c>
      <c r="BK124" s="43">
        <f t="shared" si="153"/>
        <v>86.653265762302127</v>
      </c>
      <c r="BL124">
        <f t="shared" si="150"/>
        <v>42.397221151048143</v>
      </c>
      <c r="BM124" s="43">
        <f t="shared" si="151"/>
        <v>84.721880971460678</v>
      </c>
    </row>
    <row r="125" spans="14:65" x14ac:dyDescent="0.25">
      <c r="N125" s="9">
        <v>7</v>
      </c>
      <c r="O125" s="34">
        <f t="shared" si="154"/>
        <v>117.48975549395293</v>
      </c>
      <c r="P125" s="33" t="str">
        <f t="shared" si="103"/>
        <v>19.6196196196196</v>
      </c>
      <c r="Q125" s="4" t="str">
        <f t="shared" si="104"/>
        <v>1+0.178688917206918i</v>
      </c>
      <c r="R125" s="4">
        <f t="shared" si="117"/>
        <v>1.0158394209384576</v>
      </c>
      <c r="S125" s="4">
        <f t="shared" si="118"/>
        <v>0.17682271171537839</v>
      </c>
      <c r="T125" s="4" t="str">
        <f t="shared" si="105"/>
        <v>1+0.00277566924454361i</v>
      </c>
      <c r="U125" s="4">
        <f t="shared" si="119"/>
        <v>1.0000038521624579</v>
      </c>
      <c r="V125" s="4">
        <f t="shared" si="120"/>
        <v>2.7756621163435914E-3</v>
      </c>
      <c r="W125" t="str">
        <f t="shared" si="106"/>
        <v>1-0.0016148341682019i</v>
      </c>
      <c r="X125" s="4">
        <f t="shared" si="121"/>
        <v>1.0000013038438453</v>
      </c>
      <c r="Y125" s="4">
        <f t="shared" si="122"/>
        <v>-1.61483276454212E-3</v>
      </c>
      <c r="Z125" t="str">
        <f t="shared" si="107"/>
        <v>0.999999986196157+0.00108095021871474i</v>
      </c>
      <c r="AA125" s="4">
        <f t="shared" si="123"/>
        <v>1.0000005704226822</v>
      </c>
      <c r="AB125" s="4">
        <f t="shared" si="124"/>
        <v>1.0809498126229744E-3</v>
      </c>
      <c r="AC125" s="47" t="str">
        <f t="shared" si="125"/>
        <v>19.0129124244045-3.39582952070784i</v>
      </c>
      <c r="AD125" s="20">
        <f t="shared" si="126"/>
        <v>25.717350249045644</v>
      </c>
      <c r="AE125" s="43">
        <f t="shared" si="127"/>
        <v>-10.12661834288528</v>
      </c>
      <c r="AF125" t="str">
        <f t="shared" si="108"/>
        <v>72.2956529813786</v>
      </c>
      <c r="AG125" t="str">
        <f t="shared" si="109"/>
        <v>1+0.14572263533854i</v>
      </c>
      <c r="AH125">
        <f t="shared" si="128"/>
        <v>1.0105617677559393</v>
      </c>
      <c r="AI125">
        <f t="shared" si="129"/>
        <v>0.14470410375925935</v>
      </c>
      <c r="AJ125" t="str">
        <f t="shared" si="110"/>
        <v>1+0.00277566924454361i</v>
      </c>
      <c r="AK125">
        <f t="shared" si="130"/>
        <v>1.0000038521624579</v>
      </c>
      <c r="AL125">
        <f t="shared" si="131"/>
        <v>2.7756621163435914E-3</v>
      </c>
      <c r="AM125" t="str">
        <f t="shared" si="111"/>
        <v>1-0.000357384333733296i</v>
      </c>
      <c r="AN125">
        <f t="shared" si="132"/>
        <v>1.000000063861779</v>
      </c>
      <c r="AO125">
        <f t="shared" si="133"/>
        <v>-3.5738431851783047E-4</v>
      </c>
      <c r="AP125" s="41" t="str">
        <f t="shared" si="134"/>
        <v>70.8173882407994-10.1448649555198i</v>
      </c>
      <c r="AQ125">
        <f t="shared" si="135"/>
        <v>37.091020433519908</v>
      </c>
      <c r="AR125" s="43">
        <f t="shared" si="136"/>
        <v>-8.1523773121231251</v>
      </c>
      <c r="AS125" t="str">
        <f t="shared" si="112"/>
        <v>-0.0000166666666666667</v>
      </c>
      <c r="AT125" t="str">
        <f t="shared" si="113"/>
        <v>2.50991367857667E-06i</v>
      </c>
      <c r="AU125">
        <f t="shared" si="137"/>
        <v>2.5099136785766699E-6</v>
      </c>
      <c r="AV125">
        <f t="shared" si="138"/>
        <v>1.5707963267948966</v>
      </c>
      <c r="AW125" t="str">
        <f t="shared" si="114"/>
        <v>1+0.00250774247297237i</v>
      </c>
      <c r="AX125">
        <f t="shared" si="139"/>
        <v>1.0000031443812119</v>
      </c>
      <c r="AY125">
        <f t="shared" si="140"/>
        <v>2.5077372161183965E-3</v>
      </c>
      <c r="AZ125" t="str">
        <f t="shared" si="115"/>
        <v>1+0.0852632440810604i</v>
      </c>
      <c r="BA125">
        <f t="shared" si="141"/>
        <v>1.0036283280135263</v>
      </c>
      <c r="BB125">
        <f t="shared" si="142"/>
        <v>8.5057524496809686E-2</v>
      </c>
      <c r="BC125" s="41" t="str">
        <f t="shared" si="143"/>
        <v>-0.549520765642313+6.64171266604648i</v>
      </c>
      <c r="BD125">
        <f t="shared" si="144"/>
        <v>16.475230193388054</v>
      </c>
      <c r="BE125" s="43">
        <f t="shared" si="145"/>
        <v>94.729754410886329</v>
      </c>
      <c r="BF125" s="41" t="str">
        <f t="shared" si="146"/>
        <v>12.1061337468708+128.14438010581i</v>
      </c>
      <c r="BG125" s="20">
        <f t="shared" si="147"/>
        <v>42.192580442433695</v>
      </c>
      <c r="BH125" s="43">
        <f t="shared" si="148"/>
        <v>84.603136068001064</v>
      </c>
      <c r="BI125" s="41" t="str">
        <f t="shared" si="152"/>
        <v>28.4636526635339+475.923558412944i</v>
      </c>
      <c r="BJ125" s="20">
        <f t="shared" si="149"/>
        <v>53.566250626907966</v>
      </c>
      <c r="BK125" s="43">
        <f t="shared" si="153"/>
        <v>86.577377098763208</v>
      </c>
      <c r="BL125">
        <f t="shared" si="150"/>
        <v>42.192580442433695</v>
      </c>
      <c r="BM125" s="43">
        <f t="shared" si="151"/>
        <v>84.603136068001064</v>
      </c>
    </row>
    <row r="126" spans="14:65" x14ac:dyDescent="0.25">
      <c r="N126" s="9">
        <v>8</v>
      </c>
      <c r="O126" s="34">
        <f t="shared" si="154"/>
        <v>120.22644346174135</v>
      </c>
      <c r="P126" s="33" t="str">
        <f t="shared" si="103"/>
        <v>19.6196196196196</v>
      </c>
      <c r="Q126" s="4" t="str">
        <f t="shared" si="104"/>
        <v>1+0.182851116776075i</v>
      </c>
      <c r="R126" s="4">
        <f t="shared" si="117"/>
        <v>1.0165798202336389</v>
      </c>
      <c r="S126" s="4">
        <f t="shared" si="118"/>
        <v>0.18085319875680045</v>
      </c>
      <c r="T126" s="4" t="str">
        <f t="shared" si="105"/>
        <v>1+0.0028403228868307i</v>
      </c>
      <c r="U126" s="4">
        <f t="shared" si="119"/>
        <v>1.0000040337089153</v>
      </c>
      <c r="V126" s="4">
        <f t="shared" si="120"/>
        <v>2.8403152488284326E-3</v>
      </c>
      <c r="W126" t="str">
        <f t="shared" si="106"/>
        <v>1-0.00165244848801653i</v>
      </c>
      <c r="X126" s="4">
        <f t="shared" si="121"/>
        <v>1.0000013652920707</v>
      </c>
      <c r="Y126" s="4">
        <f t="shared" si="122"/>
        <v>-1.6524469839680886E-3</v>
      </c>
      <c r="Z126" t="str">
        <f t="shared" si="107"/>
        <v>0.999999985545602+0.00110612878381515i</v>
      </c>
      <c r="AA126" s="4">
        <f t="shared" si="123"/>
        <v>1.000000597305867</v>
      </c>
      <c r="AB126" s="4">
        <f t="shared" si="124"/>
        <v>1.1061283486799975E-3</v>
      </c>
      <c r="AC126" s="47" t="str">
        <f t="shared" si="125"/>
        <v>18.9852442662297-3.46986940258474i</v>
      </c>
      <c r="AD126" s="20">
        <f t="shared" si="126"/>
        <v>25.711023681003816</v>
      </c>
      <c r="AE126" s="43">
        <f t="shared" si="127"/>
        <v>-10.357441647990374</v>
      </c>
      <c r="AF126" t="str">
        <f t="shared" si="108"/>
        <v>72.2956529813786</v>
      </c>
      <c r="AG126" t="str">
        <f t="shared" si="109"/>
        <v>1+0.149116951558612i</v>
      </c>
      <c r="AH126">
        <f t="shared" si="128"/>
        <v>1.0110568061400573</v>
      </c>
      <c r="AI126">
        <f t="shared" si="129"/>
        <v>0.14802621887703574</v>
      </c>
      <c r="AJ126" t="str">
        <f t="shared" si="110"/>
        <v>1+0.0028403228868307i</v>
      </c>
      <c r="AK126">
        <f t="shared" si="130"/>
        <v>1.0000040337089153</v>
      </c>
      <c r="AL126">
        <f t="shared" si="131"/>
        <v>2.8403152488284326E-3</v>
      </c>
      <c r="AM126" t="str">
        <f t="shared" si="111"/>
        <v>1-0.000365708884260208i</v>
      </c>
      <c r="AN126">
        <f t="shared" si="132"/>
        <v>1.0000000668714917</v>
      </c>
      <c r="AO126">
        <f t="shared" si="133"/>
        <v>-3.6570886795654297E-4</v>
      </c>
      <c r="AP126" s="41" t="str">
        <f t="shared" si="134"/>
        <v>70.749235211516-10.3710064446518i</v>
      </c>
      <c r="AQ126">
        <f t="shared" si="135"/>
        <v>37.086768168966536</v>
      </c>
      <c r="AR126" s="43">
        <f t="shared" si="136"/>
        <v>-8.3394930973538184</v>
      </c>
      <c r="AS126" t="str">
        <f t="shared" si="112"/>
        <v>-0.0000166666666666667</v>
      </c>
      <c r="AT126" t="str">
        <f t="shared" si="113"/>
        <v>2.56837707851712E-06i</v>
      </c>
      <c r="AU126">
        <f t="shared" si="137"/>
        <v>2.5683770785171199E-6</v>
      </c>
      <c r="AV126">
        <f t="shared" si="138"/>
        <v>1.5707963267948966</v>
      </c>
      <c r="AW126" t="str">
        <f t="shared" si="114"/>
        <v>1+0.00256615529903744i</v>
      </c>
      <c r="AX126">
        <f t="shared" si="139"/>
        <v>1.0000032925710889</v>
      </c>
      <c r="AY126">
        <f t="shared" si="140"/>
        <v>2.5661496662179244E-3</v>
      </c>
      <c r="AZ126" t="str">
        <f t="shared" si="115"/>
        <v>1+0.0872492801672728i</v>
      </c>
      <c r="BA126">
        <f t="shared" si="141"/>
        <v>1.0037990022358596</v>
      </c>
      <c r="BB126">
        <f t="shared" si="142"/>
        <v>8.7028892693378893E-2</v>
      </c>
      <c r="BC126" s="41" t="str">
        <f t="shared" si="143"/>
        <v>-0.549520602776033+6.4905922951943i</v>
      </c>
      <c r="BD126">
        <f t="shared" si="144"/>
        <v>16.2767058787129</v>
      </c>
      <c r="BE126" s="43">
        <f t="shared" si="145"/>
        <v>94.839358701554346</v>
      </c>
      <c r="BF126" s="41" t="str">
        <f t="shared" si="146"/>
        <v>12.0887247367182+125.132244882435i</v>
      </c>
      <c r="BG126" s="20">
        <f t="shared" si="147"/>
        <v>41.987729559716733</v>
      </c>
      <c r="BH126" s="43">
        <f t="shared" si="148"/>
        <v>84.48191705356399</v>
      </c>
      <c r="BI126" s="41" t="str">
        <f t="shared" si="152"/>
        <v>28.4358121436918+464.903522667614i</v>
      </c>
      <c r="BJ126" s="20">
        <f t="shared" si="149"/>
        <v>53.363474047679425</v>
      </c>
      <c r="BK126" s="43">
        <f t="shared" si="153"/>
        <v>86.499865604200536</v>
      </c>
      <c r="BL126">
        <f t="shared" si="150"/>
        <v>41.987729559716733</v>
      </c>
      <c r="BM126" s="43">
        <f t="shared" si="151"/>
        <v>84.48191705356399</v>
      </c>
    </row>
    <row r="127" spans="14:65" x14ac:dyDescent="0.25">
      <c r="N127" s="9">
        <v>9</v>
      </c>
      <c r="O127" s="34">
        <f t="shared" si="154"/>
        <v>123.02687708123821</v>
      </c>
      <c r="P127" s="33" t="str">
        <f t="shared" si="103"/>
        <v>19.6196196196196</v>
      </c>
      <c r="Q127" s="4" t="str">
        <f t="shared" si="104"/>
        <v>1+0.187110266427668i</v>
      </c>
      <c r="R127" s="4">
        <f t="shared" si="117"/>
        <v>1.0173545359424279</v>
      </c>
      <c r="S127" s="4">
        <f t="shared" si="118"/>
        <v>0.18497142609564071</v>
      </c>
      <c r="T127" s="4" t="str">
        <f t="shared" si="105"/>
        <v>1+0.00290648250590849i</v>
      </c>
      <c r="U127" s="4">
        <f t="shared" si="119"/>
        <v>1.0000042238113582</v>
      </c>
      <c r="V127" s="4">
        <f t="shared" si="120"/>
        <v>2.906474321643474E-3</v>
      </c>
      <c r="W127" t="str">
        <f t="shared" si="106"/>
        <v>1-0.00169093895789224i</v>
      </c>
      <c r="X127" s="4">
        <f t="shared" si="121"/>
        <v>1.0000014296362578</v>
      </c>
      <c r="Y127" s="4">
        <f t="shared" si="122"/>
        <v>-1.6909373462754237E-3</v>
      </c>
      <c r="Z127" t="str">
        <f t="shared" si="107"/>
        <v>0.999999984864388+0.00113189383303807i</v>
      </c>
      <c r="AA127" s="4">
        <f t="shared" si="123"/>
        <v>1.0000006254560172</v>
      </c>
      <c r="AB127" s="4">
        <f t="shared" si="124"/>
        <v>1.1318933667823687E-3</v>
      </c>
      <c r="AC127" s="47" t="str">
        <f t="shared" si="125"/>
        <v>18.9563583781744-3.5452882026052i</v>
      </c>
      <c r="AD127" s="20">
        <f t="shared" si="126"/>
        <v>25.704408819985023</v>
      </c>
      <c r="AE127" s="43">
        <f t="shared" si="127"/>
        <v>-10.593289620041032</v>
      </c>
      <c r="AF127" t="str">
        <f t="shared" si="108"/>
        <v>72.2956529813786</v>
      </c>
      <c r="AG127" t="str">
        <f t="shared" si="109"/>
        <v>1+0.152590331560196i</v>
      </c>
      <c r="AH127">
        <f t="shared" si="128"/>
        <v>1.0115749153106015</v>
      </c>
      <c r="AI127">
        <f t="shared" si="129"/>
        <v>0.15142231149578447</v>
      </c>
      <c r="AJ127" t="str">
        <f t="shared" si="110"/>
        <v>1+0.00290648250590849i</v>
      </c>
      <c r="AK127">
        <f t="shared" si="130"/>
        <v>1.0000042238113582</v>
      </c>
      <c r="AL127">
        <f t="shared" si="131"/>
        <v>2.906474321643474E-3</v>
      </c>
      <c r="AM127" t="str">
        <f t="shared" si="111"/>
        <v>1-0.000374227338478284i</v>
      </c>
      <c r="AN127">
        <f t="shared" si="132"/>
        <v>1.000000070023048</v>
      </c>
      <c r="AO127">
        <f t="shared" si="133"/>
        <v>-3.742273210085923E-4</v>
      </c>
      <c r="AP127" s="41" t="str">
        <f t="shared" si="134"/>
        <v>70.6780131091898-10.6017104135023i</v>
      </c>
      <c r="AQ127">
        <f t="shared" si="135"/>
        <v>37.082319962646125</v>
      </c>
      <c r="AR127" s="43">
        <f t="shared" si="136"/>
        <v>-8.5307723070026853</v>
      </c>
      <c r="AS127" t="str">
        <f t="shared" si="112"/>
        <v>-0.0000166666666666667</v>
      </c>
      <c r="AT127" t="str">
        <f t="shared" si="113"/>
        <v>2.62820226598108E-06i</v>
      </c>
      <c r="AU127">
        <f t="shared" si="137"/>
        <v>2.6282022659810799E-6</v>
      </c>
      <c r="AV127">
        <f t="shared" si="138"/>
        <v>1.5707963267948966</v>
      </c>
      <c r="AW127" t="str">
        <f t="shared" si="114"/>
        <v>1+0.00262592873460913i</v>
      </c>
      <c r="AX127">
        <f t="shared" si="139"/>
        <v>1.000003447744916</v>
      </c>
      <c r="AY127">
        <f t="shared" si="140"/>
        <v>2.6259226989354002E-3</v>
      </c>
      <c r="AZ127" t="str">
        <f t="shared" si="115"/>
        <v>1+0.0892815769767104i</v>
      </c>
      <c r="BA127">
        <f t="shared" si="141"/>
        <v>1.0039776889888781</v>
      </c>
      <c r="BB127">
        <f t="shared" si="142"/>
        <v>8.9045478045509788E-2</v>
      </c>
      <c r="BC127" s="41" t="str">
        <f t="shared" si="143"/>
        <v>-0.549520432234204+6.34291332225078i</v>
      </c>
      <c r="BD127">
        <f t="shared" si="144"/>
        <v>16.078250572770159</v>
      </c>
      <c r="BE127" s="43">
        <f t="shared" si="145"/>
        <v>94.951475788755943</v>
      </c>
      <c r="BF127" s="41" t="str">
        <f t="shared" si="146"/>
        <v>12.0705495219622+122.186746403773i</v>
      </c>
      <c r="BG127" s="20">
        <f t="shared" si="147"/>
        <v>41.782659392755185</v>
      </c>
      <c r="BH127" s="43">
        <f t="shared" si="148"/>
        <v>84.358186168714894</v>
      </c>
      <c r="BI127" s="41" t="str">
        <f t="shared" si="152"/>
        <v>28.4067179072318+454.130367429345i</v>
      </c>
      <c r="BJ127" s="20">
        <f t="shared" si="149"/>
        <v>53.160570535416277</v>
      </c>
      <c r="BK127" s="43">
        <f t="shared" si="153"/>
        <v>86.420703481753279</v>
      </c>
      <c r="BL127">
        <f t="shared" si="150"/>
        <v>41.782659392755185</v>
      </c>
      <c r="BM127" s="43">
        <f t="shared" si="151"/>
        <v>84.358186168714894</v>
      </c>
    </row>
    <row r="128" spans="14:65" x14ac:dyDescent="0.25">
      <c r="N128" s="9">
        <v>10</v>
      </c>
      <c r="O128" s="34">
        <f t="shared" si="154"/>
        <v>125.89254117941677</v>
      </c>
      <c r="P128" s="33" t="str">
        <f t="shared" si="103"/>
        <v>19.6196196196196</v>
      </c>
      <c r="Q128" s="4" t="str">
        <f t="shared" si="104"/>
        <v>1+0.191468624419217i</v>
      </c>
      <c r="R128" s="4">
        <f t="shared" si="117"/>
        <v>1.0181651310750075</v>
      </c>
      <c r="S128" s="4">
        <f t="shared" si="118"/>
        <v>0.18917901824258179</v>
      </c>
      <c r="T128" s="4" t="str">
        <f t="shared" si="105"/>
        <v>1+0.00297418318048276i</v>
      </c>
      <c r="U128" s="4">
        <f t="shared" si="119"/>
        <v>1.0000044228730147</v>
      </c>
      <c r="V128" s="4">
        <f t="shared" si="120"/>
        <v>2.9741744108868909E-3</v>
      </c>
      <c r="W128" t="str">
        <f t="shared" si="106"/>
        <v>1-0.00173032598598565i</v>
      </c>
      <c r="X128" s="4">
        <f t="shared" si="121"/>
        <v>1.0000014970128883</v>
      </c>
      <c r="Y128" s="4">
        <f t="shared" si="122"/>
        <v>-1.7303242591072581E-3</v>
      </c>
      <c r="Z128" t="str">
        <f t="shared" si="107"/>
        <v>0.999999984151068+0.00115825902735366i</v>
      </c>
      <c r="AA128" s="4">
        <f t="shared" si="123"/>
        <v>1.0000006549328408</v>
      </c>
      <c r="AB128" s="4">
        <f t="shared" si="124"/>
        <v>1.1582585277516929E-3</v>
      </c>
      <c r="AC128" s="47" t="str">
        <f t="shared" si="125"/>
        <v>18.9262052582855-3.62209520233436i</v>
      </c>
      <c r="AD128" s="20">
        <f t="shared" si="126"/>
        <v>25.697492998357255</v>
      </c>
      <c r="AE128" s="43">
        <f t="shared" si="127"/>
        <v>-10.834255278909867</v>
      </c>
      <c r="AF128" t="str">
        <f t="shared" si="108"/>
        <v>72.2956529813786</v>
      </c>
      <c r="AG128" t="str">
        <f t="shared" si="109"/>
        <v>1+0.156144616975345i</v>
      </c>
      <c r="AH128">
        <f t="shared" si="128"/>
        <v>1.0121171579468342</v>
      </c>
      <c r="AI128">
        <f t="shared" si="129"/>
        <v>0.15489386875764957</v>
      </c>
      <c r="AJ128" t="str">
        <f t="shared" si="110"/>
        <v>1+0.00297418318048276i</v>
      </c>
      <c r="AK128">
        <f t="shared" si="130"/>
        <v>1.0000044228730147</v>
      </c>
      <c r="AL128">
        <f t="shared" si="131"/>
        <v>2.9741744108868909E-3</v>
      </c>
      <c r="AM128" t="str">
        <f t="shared" si="111"/>
        <v>1-0.000382944212984706i</v>
      </c>
      <c r="AN128">
        <f t="shared" si="132"/>
        <v>1.0000000733231325</v>
      </c>
      <c r="AO128">
        <f t="shared" si="133"/>
        <v>-3.8294419426559414E-4</v>
      </c>
      <c r="AP128" s="41" t="str">
        <f t="shared" si="134"/>
        <v>70.6035905965491-10.8370352975962i</v>
      </c>
      <c r="AQ128">
        <f t="shared" si="135"/>
        <v>37.077667000503858</v>
      </c>
      <c r="AR128" s="43">
        <f t="shared" si="136"/>
        <v>-8.7262983971074579</v>
      </c>
      <c r="AS128" t="str">
        <f t="shared" si="112"/>
        <v>-0.0000166666666666667</v>
      </c>
      <c r="AT128" t="str">
        <f t="shared" si="113"/>
        <v>2.68942096107484E-06i</v>
      </c>
      <c r="AU128">
        <f t="shared" si="137"/>
        <v>2.6894209610748402E-6</v>
      </c>
      <c r="AV128">
        <f t="shared" si="138"/>
        <v>1.5707963267948966</v>
      </c>
      <c r="AW128" t="str">
        <f t="shared" si="114"/>
        <v>1+0.00268709447235419i</v>
      </c>
      <c r="AX128">
        <f t="shared" si="139"/>
        <v>1.0000036102318348</v>
      </c>
      <c r="AY128">
        <f t="shared" si="140"/>
        <v>2.6870880050145294E-3</v>
      </c>
      <c r="AZ128" t="str">
        <f t="shared" si="115"/>
        <v>1+0.0913612120600424i</v>
      </c>
      <c r="BA128">
        <f t="shared" si="141"/>
        <v>1.0041647629094939</v>
      </c>
      <c r="BB128">
        <f t="shared" si="142"/>
        <v>9.1108284131659806E-2</v>
      </c>
      <c r="BC128" s="41" t="str">
        <f t="shared" si="143"/>
        <v>-0.549520253655099+6.19859744586688i</v>
      </c>
      <c r="BD128">
        <f t="shared" si="144"/>
        <v>15.879867476339385</v>
      </c>
      <c r="BE128" s="43">
        <f t="shared" si="145"/>
        <v>95.066161357555274</v>
      </c>
      <c r="BF128" s="41" t="str">
        <f t="shared" si="146"/>
        <v>12.0515769556149+119.306342248311i</v>
      </c>
      <c r="BG128" s="20">
        <f t="shared" si="147"/>
        <v>41.577360474696675</v>
      </c>
      <c r="BH128" s="43">
        <f t="shared" si="148"/>
        <v>84.231906078645451</v>
      </c>
      <c r="BI128" s="41" t="str">
        <f t="shared" si="152"/>
        <v>28.3763163028726+443.598406726404i</v>
      </c>
      <c r="BJ128" s="20">
        <f t="shared" si="149"/>
        <v>52.957534476843236</v>
      </c>
      <c r="BK128" s="43">
        <f t="shared" si="153"/>
        <v>86.339862960447817</v>
      </c>
      <c r="BL128">
        <f t="shared" si="150"/>
        <v>41.577360474696675</v>
      </c>
      <c r="BM128" s="43">
        <f t="shared" si="151"/>
        <v>84.231906078645451</v>
      </c>
    </row>
    <row r="129" spans="14:65" x14ac:dyDescent="0.25">
      <c r="N129" s="9">
        <v>11</v>
      </c>
      <c r="O129" s="34">
        <f t="shared" si="154"/>
        <v>128.82495516931343</v>
      </c>
      <c r="P129" s="33" t="str">
        <f t="shared" si="103"/>
        <v>19.6196196196196</v>
      </c>
      <c r="Q129" s="4" t="str">
        <f t="shared" si="104"/>
        <v>1+0.195928501609821i</v>
      </c>
      <c r="R129" s="4">
        <f t="shared" si="117"/>
        <v>1.0190132372756842</v>
      </c>
      <c r="S129" s="4">
        <f t="shared" si="118"/>
        <v>0.19347760990508661</v>
      </c>
      <c r="T129" s="4" t="str">
        <f t="shared" si="105"/>
        <v>1+0.0030434608063473i</v>
      </c>
      <c r="U129" s="4">
        <f t="shared" si="119"/>
        <v>1.0000046313161153</v>
      </c>
      <c r="V129" s="4">
        <f t="shared" si="120"/>
        <v>3.0434514095583781E-3</v>
      </c>
      <c r="W129" t="str">
        <f t="shared" si="106"/>
        <v>1-0.0017706304558204i</v>
      </c>
      <c r="X129" s="4">
        <f t="shared" si="121"/>
        <v>1.000001567564877</v>
      </c>
      <c r="Y129" s="4">
        <f t="shared" si="122"/>
        <v>-1.7706286054370219E-3</v>
      </c>
      <c r="Z129" t="str">
        <f t="shared" si="107"/>
        <v>0.999999983404131+0.00118523834593692i</v>
      </c>
      <c r="AA129" s="4">
        <f t="shared" si="123"/>
        <v>1.0000006857988644</v>
      </c>
      <c r="AB129" s="4">
        <f t="shared" si="124"/>
        <v>1.1852378106037872E-3</v>
      </c>
      <c r="AC129" s="47" t="str">
        <f t="shared" si="125"/>
        <v>18.8947337718238-3.70029848250131i</v>
      </c>
      <c r="AD129" s="20">
        <f t="shared" si="126"/>
        <v>25.690263035459498</v>
      </c>
      <c r="AE129" s="43">
        <f t="shared" si="127"/>
        <v>-11.080432227362744</v>
      </c>
      <c r="AF129" t="str">
        <f t="shared" si="108"/>
        <v>72.2956529813786</v>
      </c>
      <c r="AG129" t="str">
        <f t="shared" si="109"/>
        <v>1+0.159781692333233i</v>
      </c>
      <c r="AH129">
        <f t="shared" si="128"/>
        <v>1.0126846444993978</v>
      </c>
      <c r="AI129">
        <f t="shared" si="129"/>
        <v>0.15844239645053437</v>
      </c>
      <c r="AJ129" t="str">
        <f t="shared" si="110"/>
        <v>1+0.0030434608063473i</v>
      </c>
      <c r="AK129">
        <f t="shared" si="130"/>
        <v>1.0000046313161153</v>
      </c>
      <c r="AL129">
        <f t="shared" si="131"/>
        <v>3.0434514095583781E-3</v>
      </c>
      <c r="AM129" t="str">
        <f t="shared" si="111"/>
        <v>1-0.000391864129581718i</v>
      </c>
      <c r="AN129">
        <f t="shared" si="132"/>
        <v>1.0000000767787451</v>
      </c>
      <c r="AO129">
        <f t="shared" si="133"/>
        <v>-3.9186410952382833E-4</v>
      </c>
      <c r="AP129" s="41" t="str">
        <f t="shared" si="134"/>
        <v>70.5258313611331-11.0770377749i</v>
      </c>
      <c r="AQ129">
        <f t="shared" si="135"/>
        <v>37.072800092202009</v>
      </c>
      <c r="AR129" s="43">
        <f t="shared" si="136"/>
        <v>-8.926155851251707</v>
      </c>
      <c r="AS129" t="str">
        <f t="shared" si="112"/>
        <v>-0.0000166666666666667</v>
      </c>
      <c r="AT129" t="str">
        <f t="shared" si="113"/>
        <v>2.75206562276086E-06i</v>
      </c>
      <c r="AU129">
        <f t="shared" si="137"/>
        <v>2.7520656227608599E-6</v>
      </c>
      <c r="AV129">
        <f t="shared" si="138"/>
        <v>1.5707963267948966</v>
      </c>
      <c r="AW129" t="str">
        <f t="shared" si="114"/>
        <v>1+0.0027496849431564i</v>
      </c>
      <c r="AX129">
        <f t="shared" si="139"/>
        <v>1.0000037803764976</v>
      </c>
      <c r="AY129">
        <f t="shared" si="140"/>
        <v>2.7496780132785148E-3</v>
      </c>
      <c r="AZ129" t="str">
        <f t="shared" si="115"/>
        <v>1+0.0934892880673173i</v>
      </c>
      <c r="BA129">
        <f t="shared" si="141"/>
        <v>1.0043606160056924</v>
      </c>
      <c r="BB129">
        <f t="shared" si="142"/>
        <v>9.3218334419366486E-2</v>
      </c>
      <c r="BC129" s="41" t="str">
        <f t="shared" si="143"/>
        <v>-0.549520066659944+6.05756814785166i</v>
      </c>
      <c r="BD129">
        <f t="shared" si="144"/>
        <v>15.681559936141131</v>
      </c>
      <c r="BE129" s="43">
        <f t="shared" si="145"/>
        <v>95.183472190288015</v>
      </c>
      <c r="BF129" s="41" t="str">
        <f t="shared" si="146"/>
        <v>12.0317748633293+116.489525727103i</v>
      </c>
      <c r="BG129" s="20">
        <f t="shared" si="147"/>
        <v>41.371822971600658</v>
      </c>
      <c r="BH129" s="43">
        <f t="shared" si="148"/>
        <v>84.10303996292528</v>
      </c>
      <c r="BI129" s="41" t="str">
        <f t="shared" si="152"/>
        <v>28.344551646966+433.302084190415i</v>
      </c>
      <c r="BJ129" s="20">
        <f t="shared" si="149"/>
        <v>52.754360028343129</v>
      </c>
      <c r="BK129" s="43">
        <f t="shared" si="153"/>
        <v>86.257316339036322</v>
      </c>
      <c r="BL129">
        <f t="shared" si="150"/>
        <v>41.371822971600658</v>
      </c>
      <c r="BM129" s="43">
        <f t="shared" si="151"/>
        <v>84.10303996292528</v>
      </c>
    </row>
    <row r="130" spans="14:65" x14ac:dyDescent="0.25">
      <c r="N130" s="9">
        <v>12</v>
      </c>
      <c r="O130" s="34">
        <f t="shared" si="154"/>
        <v>131.82567385564084</v>
      </c>
      <c r="P130" s="33" t="str">
        <f t="shared" si="103"/>
        <v>19.6196196196196</v>
      </c>
      <c r="Q130" s="4" t="str">
        <f t="shared" si="104"/>
        <v>1+0.200492262685398i</v>
      </c>
      <c r="R130" s="4">
        <f t="shared" si="117"/>
        <v>1.0199005576019216</v>
      </c>
      <c r="S130" s="4">
        <f t="shared" si="118"/>
        <v>0.19786884451581011</v>
      </c>
      <c r="T130" s="4" t="str">
        <f t="shared" si="105"/>
        <v>1+0.00311435211541633i</v>
      </c>
      <c r="U130" s="4">
        <f t="shared" si="119"/>
        <v>1.0000048495827902</v>
      </c>
      <c r="V130" s="4">
        <f t="shared" si="120"/>
        <v>3.11434204657823E-3</v>
      </c>
      <c r="W130" t="str">
        <f t="shared" si="106"/>
        <v>1-0.0018118737373599i</v>
      </c>
      <c r="X130" s="4">
        <f t="shared" si="121"/>
        <v>1.0000016414418729</v>
      </c>
      <c r="Y130" s="4">
        <f t="shared" si="122"/>
        <v>-1.8118717546385641E-3</v>
      </c>
      <c r="Z130" t="str">
        <f t="shared" si="107"/>
        <v>0.999999982621992+0.00121284609357969i</v>
      </c>
      <c r="AA130" s="4">
        <f t="shared" si="123"/>
        <v>1.0000007181195576</v>
      </c>
      <c r="AB130" s="4">
        <f t="shared" si="124"/>
        <v>1.2128455199599255E-3</v>
      </c>
      <c r="AC130" s="47" t="str">
        <f t="shared" si="125"/>
        <v>18.8618911334446-3.77990481778647i</v>
      </c>
      <c r="AD130" s="20">
        <f t="shared" si="126"/>
        <v>25.682705220863028</v>
      </c>
      <c r="AE130" s="43">
        <f t="shared" si="127"/>
        <v>-11.331914566711976</v>
      </c>
      <c r="AF130" t="str">
        <f t="shared" si="108"/>
        <v>72.2956529813786</v>
      </c>
      <c r="AG130" t="str">
        <f t="shared" si="109"/>
        <v>1+0.163503486059357i</v>
      </c>
      <c r="AH130">
        <f t="shared" si="128"/>
        <v>1.0132785352278821</v>
      </c>
      <c r="AI130">
        <f t="shared" si="129"/>
        <v>0.16206941840208194</v>
      </c>
      <c r="AJ130" t="str">
        <f t="shared" si="110"/>
        <v>1+0.00311435211541633i</v>
      </c>
      <c r="AK130">
        <f t="shared" si="130"/>
        <v>1.0000048495827902</v>
      </c>
      <c r="AL130">
        <f t="shared" si="131"/>
        <v>3.11434204657823E-3</v>
      </c>
      <c r="AM130" t="str">
        <f t="shared" si="111"/>
        <v>1-0.00040099181772717i</v>
      </c>
      <c r="AN130">
        <f t="shared" si="132"/>
        <v>1.0000000803972158</v>
      </c>
      <c r="AO130">
        <f t="shared" si="133"/>
        <v>-4.0099179623475408E-4</v>
      </c>
      <c r="AP130" s="41" t="str">
        <f t="shared" si="134"/>
        <v>70.4445939882305-11.3217725366165i</v>
      </c>
      <c r="AQ130">
        <f t="shared" si="135"/>
        <v>37.067709656952019</v>
      </c>
      <c r="AR130" s="43">
        <f t="shared" si="136"/>
        <v>-9.1304301448937082</v>
      </c>
      <c r="AS130" t="str">
        <f t="shared" si="112"/>
        <v>-0.0000166666666666667</v>
      </c>
      <c r="AT130" t="str">
        <f t="shared" si="113"/>
        <v>2.81616946606796E-06i</v>
      </c>
      <c r="AU130">
        <f t="shared" si="137"/>
        <v>2.8161694660679598E-6</v>
      </c>
      <c r="AV130">
        <f t="shared" si="138"/>
        <v>1.5707963267948966</v>
      </c>
      <c r="AW130" t="str">
        <f t="shared" si="114"/>
        <v>1+0.00281373333331185i</v>
      </c>
      <c r="AX130">
        <f t="shared" si="139"/>
        <v>1.0000039585398004</v>
      </c>
      <c r="AY130">
        <f t="shared" si="140"/>
        <v>2.8137259078155007E-3</v>
      </c>
      <c r="AZ130" t="str">
        <f t="shared" si="115"/>
        <v>1+0.0956669333326026i</v>
      </c>
      <c r="BA130">
        <f t="shared" si="141"/>
        <v>1.0045656584481</v>
      </c>
      <c r="BB130">
        <f t="shared" si="142"/>
        <v>9.5376672486897671E-2</v>
      </c>
      <c r="BC130" s="41" t="str">
        <f t="shared" si="143"/>
        <v>-0.549519870852116+5.91975065260135i</v>
      </c>
      <c r="BD130">
        <f t="shared" si="144"/>
        <v>15.483331451250638</v>
      </c>
      <c r="BE130" s="43">
        <f t="shared" si="145"/>
        <v>95.303466178276295</v>
      </c>
      <c r="BF130" s="41" t="str">
        <f t="shared" si="146"/>
        <v>12.0111100321853+113.734825153808i</v>
      </c>
      <c r="BG130" s="20">
        <f t="shared" si="147"/>
        <v>41.166036672113691</v>
      </c>
      <c r="BH130" s="43">
        <f t="shared" si="148"/>
        <v>83.971551611564351</v>
      </c>
      <c r="BI130" s="41" t="str">
        <f t="shared" si="152"/>
        <v>28.3113661715974+423.235970216203i</v>
      </c>
      <c r="BJ130" s="20">
        <f t="shared" si="149"/>
        <v>52.551041108202661</v>
      </c>
      <c r="BK130" s="43">
        <f t="shared" si="153"/>
        <v>86.173036033382601</v>
      </c>
      <c r="BL130">
        <f t="shared" si="150"/>
        <v>41.166036672113691</v>
      </c>
      <c r="BM130" s="43">
        <f t="shared" si="151"/>
        <v>83.971551611564351</v>
      </c>
    </row>
    <row r="131" spans="14:65" x14ac:dyDescent="0.25">
      <c r="N131" s="9">
        <v>13</v>
      </c>
      <c r="O131" s="34">
        <f t="shared" si="154"/>
        <v>134.89628825916537</v>
      </c>
      <c r="P131" s="33" t="str">
        <f t="shared" si="103"/>
        <v>19.6196196196196</v>
      </c>
      <c r="Q131" s="4" t="str">
        <f t="shared" si="104"/>
        <v>1+0.20516232741248i</v>
      </c>
      <c r="R131" s="4">
        <f t="shared" si="117"/>
        <v>1.0208288693945258</v>
      </c>
      <c r="S131" s="4">
        <f t="shared" si="118"/>
        <v>0.20235437263430575</v>
      </c>
      <c r="T131" s="4" t="str">
        <f t="shared" si="105"/>
        <v>1+0.00318689469520026i</v>
      </c>
      <c r="U131" s="4">
        <f t="shared" si="119"/>
        <v>1.0000050781360055</v>
      </c>
      <c r="V131" s="4">
        <f t="shared" si="120"/>
        <v>3.1868839062488131E-3</v>
      </c>
      <c r="W131" t="str">
        <f t="shared" si="106"/>
        <v>1-0.00185407769833792i</v>
      </c>
      <c r="X131" s="4">
        <f t="shared" si="121"/>
        <v>1.0000017188005785</v>
      </c>
      <c r="Y131" s="4">
        <f t="shared" si="122"/>
        <v>-1.854075573813929E-3</v>
      </c>
      <c r="Z131" t="str">
        <f t="shared" si="107"/>
        <v>0.999999981802991+0.00124109690827518i</v>
      </c>
      <c r="AA131" s="4">
        <f t="shared" si="123"/>
        <v>1.0000007519634764</v>
      </c>
      <c r="AB131" s="4">
        <f t="shared" si="124"/>
        <v>1.2410962936305542E-3</v>
      </c>
      <c r="AC131" s="47" t="str">
        <f t="shared" si="125"/>
        <v>18.827622893108-3.86091956620411i</v>
      </c>
      <c r="AD131" s="20">
        <f t="shared" si="126"/>
        <v>25.674805297469678</v>
      </c>
      <c r="AE131" s="43">
        <f t="shared" si="127"/>
        <v>-11.588796805209263</v>
      </c>
      <c r="AF131" t="str">
        <f t="shared" si="108"/>
        <v>72.2956529813786</v>
      </c>
      <c r="AG131" t="str">
        <f t="shared" si="109"/>
        <v>1+0.167311971498014i</v>
      </c>
      <c r="AH131">
        <f t="shared" si="128"/>
        <v>1.0139000423150955</v>
      </c>
      <c r="AI131">
        <f t="shared" si="129"/>
        <v>0.1657764757970191</v>
      </c>
      <c r="AJ131" t="str">
        <f t="shared" si="110"/>
        <v>1+0.00318689469520026i</v>
      </c>
      <c r="AK131">
        <f t="shared" si="130"/>
        <v>1.0000050781360055</v>
      </c>
      <c r="AL131">
        <f t="shared" si="131"/>
        <v>3.1868839062488131E-3</v>
      </c>
      <c r="AM131" t="str">
        <f t="shared" si="111"/>
        <v>1-0.000410332117042134i</v>
      </c>
      <c r="AN131">
        <f t="shared" si="132"/>
        <v>1.0000000841862196</v>
      </c>
      <c r="AO131">
        <f t="shared" si="133"/>
        <v>-4.1033209401259552E-4</v>
      </c>
      <c r="AP131" s="41" t="str">
        <f t="shared" si="134"/>
        <v>70.3597318368336-11.5712920430606i</v>
      </c>
      <c r="AQ131">
        <f t="shared" si="135"/>
        <v>37.062385708993688</v>
      </c>
      <c r="AR131" s="43">
        <f t="shared" si="136"/>
        <v>-9.3392077052812912</v>
      </c>
      <c r="AS131" t="str">
        <f t="shared" si="112"/>
        <v>-0.0000166666666666667</v>
      </c>
      <c r="AT131" t="str">
        <f t="shared" si="113"/>
        <v>2.88176647970237E-06i</v>
      </c>
      <c r="AU131">
        <f t="shared" si="137"/>
        <v>2.88176647970237E-6</v>
      </c>
      <c r="AV131">
        <f t="shared" si="138"/>
        <v>1.5707963267948966</v>
      </c>
      <c r="AW131" t="str">
        <f t="shared" si="114"/>
        <v>1+0.00287927360212478i</v>
      </c>
      <c r="AX131">
        <f t="shared" si="139"/>
        <v>1.0000041450996471</v>
      </c>
      <c r="AY131">
        <f t="shared" si="140"/>
        <v>2.8792656455638721E-3</v>
      </c>
      <c r="AZ131" t="str">
        <f t="shared" si="115"/>
        <v>1+0.0978953024722422i</v>
      </c>
      <c r="BA131">
        <f t="shared" si="141"/>
        <v>1.0047803193963005</v>
      </c>
      <c r="BB131">
        <f t="shared" si="142"/>
        <v>9.7584362233712946E-2</v>
      </c>
      <c r="BC131" s="41" t="str">
        <f t="shared" si="143"/>
        <v>-0.549519665816301+5.7850718874523i</v>
      </c>
      <c r="BD131">
        <f t="shared" si="144"/>
        <v>15.28518567977018</v>
      </c>
      <c r="BE131" s="43">
        <f t="shared" si="145"/>
        <v>95.42620233287974</v>
      </c>
      <c r="BF131" s="41" t="str">
        <f t="shared" si="146"/>
        <v>11.9895482018259+111.040803136237i</v>
      </c>
      <c r="BG131" s="20">
        <f t="shared" si="147"/>
        <v>40.95999097723989</v>
      </c>
      <c r="BH131" s="43">
        <f t="shared" si="148"/>
        <v>83.837405527670498</v>
      </c>
      <c r="BI131" s="41" t="str">
        <f t="shared" si="152"/>
        <v>28.276699973909+413.394759194514i</v>
      </c>
      <c r="BJ131" s="20">
        <f t="shared" si="149"/>
        <v>52.347571388763861</v>
      </c>
      <c r="BK131" s="43">
        <f t="shared" si="153"/>
        <v>86.086994627598457</v>
      </c>
      <c r="BL131">
        <f t="shared" si="150"/>
        <v>40.95999097723989</v>
      </c>
      <c r="BM131" s="43">
        <f t="shared" si="151"/>
        <v>83.837405527670498</v>
      </c>
    </row>
    <row r="132" spans="14:65" x14ac:dyDescent="0.25">
      <c r="N132" s="9">
        <v>14</v>
      </c>
      <c r="O132" s="34">
        <f t="shared" si="154"/>
        <v>138.0384264602886</v>
      </c>
      <c r="P132" s="33" t="str">
        <f t="shared" si="103"/>
        <v>19.6196196196196</v>
      </c>
      <c r="Q132" s="4" t="str">
        <f t="shared" si="104"/>
        <v>1+0.2099411719212i</v>
      </c>
      <c r="R132" s="4">
        <f t="shared" si="117"/>
        <v>1.0218000272399912</v>
      </c>
      <c r="S132" s="4">
        <f t="shared" si="118"/>
        <v>0.20693585021560135</v>
      </c>
      <c r="T132" s="4" t="str">
        <f t="shared" si="105"/>
        <v>1+0.00326112700873514i</v>
      </c>
      <c r="U132" s="4">
        <f t="shared" si="119"/>
        <v>1.0000053174605459</v>
      </c>
      <c r="V132" s="4">
        <f t="shared" si="120"/>
        <v>3.261115448168702E-3</v>
      </c>
      <c r="W132" t="str">
        <f t="shared" si="106"/>
        <v>1-0.00189726471585323i</v>
      </c>
      <c r="X132" s="4">
        <f t="shared" si="121"/>
        <v>1.0000017998050814</v>
      </c>
      <c r="Y132" s="4">
        <f t="shared" si="122"/>
        <v>-1.8972624393849805E-3</v>
      </c>
      <c r="Z132" t="str">
        <f t="shared" si="107"/>
        <v>0.999999980945393+0.0012700057689793i</v>
      </c>
      <c r="AA132" s="4">
        <f t="shared" si="123"/>
        <v>1.0000007874024097</v>
      </c>
      <c r="AB132" s="4">
        <f t="shared" si="124"/>
        <v>1.2700051103757448E-3</v>
      </c>
      <c r="AC132" s="47" t="str">
        <f t="shared" si="125"/>
        <v>18.7918729261907-3.94334655299765i</v>
      </c>
      <c r="AD132" s="20">
        <f t="shared" si="126"/>
        <v>25.666548444488505</v>
      </c>
      <c r="AE132" s="43">
        <f t="shared" si="127"/>
        <v>-11.851173758810376</v>
      </c>
      <c r="AF132" t="str">
        <f t="shared" si="108"/>
        <v>72.2956529813786</v>
      </c>
      <c r="AG132" t="str">
        <f t="shared" si="109"/>
        <v>1+0.171209167958595i</v>
      </c>
      <c r="AH132">
        <f t="shared" si="128"/>
        <v>1.0145504320599712</v>
      </c>
      <c r="AI132">
        <f t="shared" si="129"/>
        <v>0.16956512641293267</v>
      </c>
      <c r="AJ132" t="str">
        <f t="shared" si="110"/>
        <v>1+0.00326112700873514i</v>
      </c>
      <c r="AK132">
        <f t="shared" si="130"/>
        <v>1.0000053174605459</v>
      </c>
      <c r="AL132">
        <f t="shared" si="131"/>
        <v>3.261115448168702E-3</v>
      </c>
      <c r="AM132" t="str">
        <f t="shared" si="111"/>
        <v>1-0.000419889979876942i</v>
      </c>
      <c r="AN132">
        <f t="shared" si="132"/>
        <v>1.0000000881537938</v>
      </c>
      <c r="AO132">
        <f t="shared" si="133"/>
        <v>-4.198899552003471E-4</v>
      </c>
      <c r="AP132" s="41" t="str">
        <f t="shared" si="134"/>
        <v>70.271092919436-11.8256462640016i</v>
      </c>
      <c r="AQ132">
        <f t="shared" si="135"/>
        <v>37.056817842730979</v>
      </c>
      <c r="AR132" s="43">
        <f t="shared" si="136"/>
        <v>-9.5525758666712761</v>
      </c>
      <c r="AS132" t="str">
        <f t="shared" si="112"/>
        <v>-0.0000166666666666667</v>
      </c>
      <c r="AT132" t="str">
        <f t="shared" si="113"/>
        <v>2.94889144406902E-06i</v>
      </c>
      <c r="AU132">
        <f t="shared" si="137"/>
        <v>2.9488914440690202E-6</v>
      </c>
      <c r="AV132">
        <f t="shared" si="138"/>
        <v>1.5707963267948966</v>
      </c>
      <c r="AW132" t="str">
        <f t="shared" si="114"/>
        <v>1+0.00294634049991325i</v>
      </c>
      <c r="AX132">
        <f t="shared" si="139"/>
        <v>1.0000043404517509</v>
      </c>
      <c r="AY132">
        <f t="shared" si="140"/>
        <v>2.9463319743066323E-3</v>
      </c>
      <c r="AZ132" t="str">
        <f t="shared" si="115"/>
        <v>1+0.10017557699705i</v>
      </c>
      <c r="BA132">
        <f t="shared" si="141"/>
        <v>1.0050050478612991</v>
      </c>
      <c r="BB132">
        <f t="shared" si="142"/>
        <v>9.9842488078417849E-2</v>
      </c>
      <c r="BC132" s="41" t="str">
        <f t="shared" si="143"/>
        <v>-0.549519451117604+5.65346044393675i</v>
      </c>
      <c r="BD132">
        <f t="shared" si="144"/>
        <v>15.087126445768241</v>
      </c>
      <c r="BE132" s="43">
        <f t="shared" si="145"/>
        <v>95.551740795806339</v>
      </c>
      <c r="BF132" s="41" t="str">
        <f t="shared" si="146"/>
        <v>11.9670540582345+108.406055889075i</v>
      </c>
      <c r="BG132" s="20">
        <f t="shared" si="147"/>
        <v>40.753674890256761</v>
      </c>
      <c r="BH132" s="43">
        <f t="shared" si="148"/>
        <v>83.700567036995977</v>
      </c>
      <c r="BI132" s="41" t="str">
        <f t="shared" si="152"/>
        <v>28.2404909669988+403.77326681634i</v>
      </c>
      <c r="BJ132" s="20">
        <f t="shared" si="149"/>
        <v>52.143944288499213</v>
      </c>
      <c r="BK132" s="43">
        <f t="shared" si="153"/>
        <v>85.999164929135077</v>
      </c>
      <c r="BL132">
        <f t="shared" si="150"/>
        <v>40.753674890256761</v>
      </c>
      <c r="BM132" s="43">
        <f t="shared" si="151"/>
        <v>83.700567036995977</v>
      </c>
    </row>
    <row r="133" spans="14:65" x14ac:dyDescent="0.25">
      <c r="N133" s="9">
        <v>15</v>
      </c>
      <c r="O133" s="34">
        <f t="shared" si="154"/>
        <v>141.25375446227542</v>
      </c>
      <c r="P133" s="33" t="str">
        <f t="shared" si="103"/>
        <v>19.6196196196196</v>
      </c>
      <c r="Q133" s="4" t="str">
        <f t="shared" si="104"/>
        <v>1+0.214831330018173i</v>
      </c>
      <c r="R133" s="4">
        <f t="shared" si="117"/>
        <v>1.0228159660258422</v>
      </c>
      <c r="S133" s="4">
        <f t="shared" si="118"/>
        <v>0.21161493673918505</v>
      </c>
      <c r="T133" s="4" t="str">
        <f t="shared" si="105"/>
        <v>1+0.00333708841497617i</v>
      </c>
      <c r="U133" s="4">
        <f t="shared" si="119"/>
        <v>1.0000055680640429</v>
      </c>
      <c r="V133" s="4">
        <f t="shared" si="120"/>
        <v>3.3370760276097769E-3</v>
      </c>
      <c r="W133" t="str">
        <f t="shared" si="106"/>
        <v>1-0.00194145768823414i</v>
      </c>
      <c r="X133" s="4">
        <f t="shared" si="121"/>
        <v>1.0000018846272019</v>
      </c>
      <c r="Y133" s="4">
        <f t="shared" si="122"/>
        <v>-1.9414552489547111E-3</v>
      </c>
      <c r="Z133" t="str">
        <f t="shared" si="107"/>
        <v>0.999999980047377+0.00129958800355265i</v>
      </c>
      <c r="AA133" s="4">
        <f t="shared" si="123"/>
        <v>1.0000008245115268</v>
      </c>
      <c r="AB133" s="4">
        <f t="shared" si="124"/>
        <v>1.2995872978462579E-3</v>
      </c>
      <c r="AC133" s="47" t="str">
        <f t="shared" si="125"/>
        <v>18.7545834282979-4.02718794898827i</v>
      </c>
      <c r="AD133" s="20">
        <f t="shared" si="126"/>
        <v>25.65791926033458</v>
      </c>
      <c r="AE133" s="43">
        <f t="shared" si="127"/>
        <v>-12.119140443940905</v>
      </c>
      <c r="AF133" t="str">
        <f t="shared" si="108"/>
        <v>72.2956529813786</v>
      </c>
      <c r="AG133" t="str">
        <f t="shared" si="109"/>
        <v>1+0.175197141786249i</v>
      </c>
      <c r="AH133">
        <f t="shared" si="128"/>
        <v>1.0152310271509983</v>
      </c>
      <c r="AI133">
        <f t="shared" si="129"/>
        <v>0.17343694376934557</v>
      </c>
      <c r="AJ133" t="str">
        <f t="shared" si="110"/>
        <v>1+0.00333708841497617i</v>
      </c>
      <c r="AK133">
        <f t="shared" si="130"/>
        <v>1.0000055680640429</v>
      </c>
      <c r="AL133">
        <f t="shared" si="131"/>
        <v>3.3370760276097769E-3</v>
      </c>
      <c r="AM133" t="str">
        <f t="shared" si="111"/>
        <v>1-0.000429670473936982i</v>
      </c>
      <c r="AN133">
        <f t="shared" si="132"/>
        <v>1.0000000923083538</v>
      </c>
      <c r="AO133">
        <f t="shared" si="133"/>
        <v>-4.2967044749553428E-4</v>
      </c>
      <c r="AP133" s="41" t="str">
        <f t="shared" si="134"/>
        <v>70.1785197865779-12.084882402861i</v>
      </c>
      <c r="AQ133">
        <f t="shared" si="135"/>
        <v>37.050995217536482</v>
      </c>
      <c r="AR133" s="43">
        <f t="shared" si="136"/>
        <v>-9.7706228205579766</v>
      </c>
      <c r="AS133" t="str">
        <f t="shared" si="112"/>
        <v>-0.0000166666666666667</v>
      </c>
      <c r="AT133" t="str">
        <f t="shared" si="113"/>
        <v>3.01757994971249E-06i</v>
      </c>
      <c r="AU133">
        <f t="shared" si="137"/>
        <v>3.0175799497124899E-6</v>
      </c>
      <c r="AV133">
        <f t="shared" si="138"/>
        <v>1.5707963267948966</v>
      </c>
      <c r="AW133" t="str">
        <f t="shared" si="114"/>
        <v>1+0.0030149695864342i</v>
      </c>
      <c r="AX133">
        <f t="shared" si="139"/>
        <v>1.0000045450104751</v>
      </c>
      <c r="AY133">
        <f t="shared" si="140"/>
        <v>3.0149604510843627E-3</v>
      </c>
      <c r="AZ133" t="str">
        <f t="shared" si="115"/>
        <v>1+0.102508965938763i</v>
      </c>
      <c r="BA133">
        <f t="shared" si="141"/>
        <v>1.005240313605575</v>
      </c>
      <c r="BB133">
        <f t="shared" si="142"/>
        <v>0.10215215514279588</v>
      </c>
      <c r="BC133" s="41" t="str">
        <f t="shared" si="143"/>
        <v>-0.549519226300659+5.52484653992138i</v>
      </c>
      <c r="BD133">
        <f t="shared" si="144"/>
        <v>14.889157746494499</v>
      </c>
      <c r="BE133" s="43">
        <f t="shared" si="145"/>
        <v>95.680142848601804</v>
      </c>
      <c r="BF133" s="41" t="str">
        <f t="shared" si="146"/>
        <v>11.9435912304715+105.829212567394i</v>
      </c>
      <c r="BG133" s="20">
        <f t="shared" si="147"/>
        <v>40.547077006829085</v>
      </c>
      <c r="BH133" s="43">
        <f t="shared" si="148"/>
        <v>83.561002404660897</v>
      </c>
      <c r="BI133" s="41" t="str">
        <f t="shared" si="152"/>
        <v>28.2026748327576+394.366427447634i</v>
      </c>
      <c r="BJ133" s="20">
        <f t="shared" si="149"/>
        <v>51.940152964031</v>
      </c>
      <c r="BK133" s="43">
        <f t="shared" si="153"/>
        <v>85.909520028043829</v>
      </c>
      <c r="BL133">
        <f t="shared" si="150"/>
        <v>40.547077006829085</v>
      </c>
      <c r="BM133" s="43">
        <f t="shared" si="151"/>
        <v>83.561002404660897</v>
      </c>
    </row>
    <row r="134" spans="14:65" x14ac:dyDescent="0.25">
      <c r="N134" s="9">
        <v>16</v>
      </c>
      <c r="O134" s="34">
        <f t="shared" si="154"/>
        <v>144.54397707459285</v>
      </c>
      <c r="P134" s="33" t="str">
        <f t="shared" si="103"/>
        <v>19.6196196196196</v>
      </c>
      <c r="Q134" s="4" t="str">
        <f t="shared" si="104"/>
        <v>1+0.219835394529951i</v>
      </c>
      <c r="R134" s="4">
        <f t="shared" si="117"/>
        <v>1.0238787040895709</v>
      </c>
      <c r="S134" s="4">
        <f t="shared" si="118"/>
        <v>0.21639329319185041</v>
      </c>
      <c r="T134" s="4" t="str">
        <f t="shared" si="105"/>
        <v>1+0.0034148191896664i</v>
      </c>
      <c r="U134" s="4">
        <f t="shared" si="119"/>
        <v>1.0000058304780519</v>
      </c>
      <c r="V134" s="4">
        <f t="shared" si="120"/>
        <v>3.4148059163683487E-3</v>
      </c>
      <c r="W134" t="str">
        <f t="shared" si="106"/>
        <v>1-0.00198668004717959i</v>
      </c>
      <c r="X134" s="4">
        <f t="shared" si="121"/>
        <v>1.0000019734468577</v>
      </c>
      <c r="Y134" s="4">
        <f t="shared" si="122"/>
        <v>-1.9866774334448695E-3</v>
      </c>
      <c r="Z134" t="str">
        <f t="shared" si="107"/>
        <v>0.999999979107039+0.00132985929688756i</v>
      </c>
      <c r="AA134" s="4">
        <f t="shared" si="123"/>
        <v>1.0000008633695412</v>
      </c>
      <c r="AB134" s="4">
        <f t="shared" si="124"/>
        <v>1.3298585407095719E-3</v>
      </c>
      <c r="AC134" s="47" t="str">
        <f t="shared" si="125"/>
        <v>18.7156949153154-4.11244414334585i</v>
      </c>
      <c r="AD134" s="20">
        <f t="shared" si="126"/>
        <v>25.648901745502727</v>
      </c>
      <c r="AE134" s="43">
        <f t="shared" si="127"/>
        <v>-12.392791961888186</v>
      </c>
      <c r="AF134" t="str">
        <f t="shared" si="108"/>
        <v>72.2956529813786</v>
      </c>
      <c r="AG134" t="str">
        <f t="shared" si="109"/>
        <v>1+0.179278007457486i</v>
      </c>
      <c r="AH134">
        <f t="shared" si="128"/>
        <v>1.0159432090220035</v>
      </c>
      <c r="AI134">
        <f t="shared" si="129"/>
        <v>0.17739351618476837</v>
      </c>
      <c r="AJ134" t="str">
        <f t="shared" si="110"/>
        <v>1+0.0034148191896664i</v>
      </c>
      <c r="AK134">
        <f t="shared" si="130"/>
        <v>1.0000058304780519</v>
      </c>
      <c r="AL134">
        <f t="shared" si="131"/>
        <v>3.4148059163683487E-3</v>
      </c>
      <c r="AM134" t="str">
        <f t="shared" si="111"/>
        <v>1-0.000439678784969664i</v>
      </c>
      <c r="AN134">
        <f t="shared" si="132"/>
        <v>1.0000000966587124</v>
      </c>
      <c r="AO134">
        <f t="shared" si="133"/>
        <v>-4.3967875663714247E-4</v>
      </c>
      <c r="AP134" s="41" t="str">
        <f t="shared" si="134"/>
        <v>70.0818494171353-12.3490446041708i</v>
      </c>
      <c r="AQ134">
        <f t="shared" si="135"/>
        <v>37.044906542239396</v>
      </c>
      <c r="AR134" s="43">
        <f t="shared" si="136"/>
        <v>-9.9934375606055799</v>
      </c>
      <c r="AS134" t="str">
        <f t="shared" si="112"/>
        <v>-0.0000166666666666667</v>
      </c>
      <c r="AT134" t="str">
        <f t="shared" si="113"/>
        <v>3.08786841618771E-06i</v>
      </c>
      <c r="AU134">
        <f t="shared" si="137"/>
        <v>3.08786841618771E-6</v>
      </c>
      <c r="AV134">
        <f t="shared" si="138"/>
        <v>1.5707963267948966</v>
      </c>
      <c r="AW134" t="str">
        <f t="shared" si="114"/>
        <v>1+0.00308519724973772i</v>
      </c>
      <c r="AX134">
        <f t="shared" si="139"/>
        <v>1.0000047592097099</v>
      </c>
      <c r="AY134">
        <f t="shared" si="140"/>
        <v>3.0851874610365254E-3</v>
      </c>
      <c r="AZ134" t="str">
        <f t="shared" si="115"/>
        <v>1+0.104896706491082i</v>
      </c>
      <c r="BA134">
        <f t="shared" si="141"/>
        <v>1.0054866080822142</v>
      </c>
      <c r="BB134">
        <f t="shared" si="142"/>
        <v>0.10451448942040183</v>
      </c>
      <c r="BC134" s="41" t="str">
        <f t="shared" si="143"/>
        <v>-0.549518990888605+5.39916198260751i</v>
      </c>
      <c r="BD134">
        <f t="shared" si="144"/>
        <v>14.691283759877194</v>
      </c>
      <c r="BE134" s="43">
        <f t="shared" si="145"/>
        <v>95.811470921229642</v>
      </c>
      <c r="BF134" s="41" t="str">
        <f t="shared" si="146"/>
        <v>11.9191222907067+103.308934620589i</v>
      </c>
      <c r="BG134" s="20">
        <f t="shared" si="147"/>
        <v>40.340185505379942</v>
      </c>
      <c r="BH134" s="43">
        <f t="shared" si="148"/>
        <v>83.418678959341491</v>
      </c>
      <c r="BI134" s="41" t="str">
        <f t="shared" si="152"/>
        <v>28.163184977052+385.169291573144i</v>
      </c>
      <c r="BJ134" s="20">
        <f t="shared" si="149"/>
        <v>51.736190302116604</v>
      </c>
      <c r="BK134" s="43">
        <f t="shared" si="153"/>
        <v>85.818033360624071</v>
      </c>
      <c r="BL134">
        <f t="shared" si="150"/>
        <v>40.340185505379942</v>
      </c>
      <c r="BM134" s="43">
        <f t="shared" si="151"/>
        <v>83.418678959341491</v>
      </c>
    </row>
    <row r="135" spans="14:65" x14ac:dyDescent="0.25">
      <c r="N135" s="9">
        <v>17</v>
      </c>
      <c r="O135" s="34">
        <f t="shared" si="154"/>
        <v>147.91083881682084</v>
      </c>
      <c r="P135" s="33" t="str">
        <f t="shared" si="103"/>
        <v>19.6196196196196</v>
      </c>
      <c r="Q135" s="4" t="str">
        <f t="shared" si="104"/>
        <v>1+0.224956018677774i</v>
      </c>
      <c r="R135" s="4">
        <f t="shared" si="117"/>
        <v>1.0249903464615435</v>
      </c>
      <c r="S135" s="4">
        <f t="shared" si="118"/>
        <v>0.22127257989785662</v>
      </c>
      <c r="T135" s="4" t="str">
        <f t="shared" si="105"/>
        <v>1+0.00349436054669147i</v>
      </c>
      <c r="U135" s="4">
        <f t="shared" si="119"/>
        <v>1.000006105259178</v>
      </c>
      <c r="V135" s="4">
        <f t="shared" si="120"/>
        <v>3.4943463241010535E-3</v>
      </c>
      <c r="W135" t="str">
        <f t="shared" si="106"/>
        <v>1-0.00203295577018288i</v>
      </c>
      <c r="X135" s="4">
        <f t="shared" si="121"/>
        <v>1.0000020664524467</v>
      </c>
      <c r="Y135" s="4">
        <f t="shared" si="122"/>
        <v>-2.0329529695159811E-3</v>
      </c>
      <c r="Z135" t="str">
        <f t="shared" si="107"/>
        <v>0.999999978122384+0.00136083569922445i</v>
      </c>
      <c r="AA135" s="4">
        <f t="shared" si="123"/>
        <v>1.0000009040588755</v>
      </c>
      <c r="AB135" s="4">
        <f t="shared" si="124"/>
        <v>1.3608348889651773E-3</v>
      </c>
      <c r="AC135" s="47" t="str">
        <f t="shared" si="125"/>
        <v>18.6751462292662-4.1991136107808i</v>
      </c>
      <c r="AD135" s="20">
        <f t="shared" si="126"/>
        <v>25.639479285470649</v>
      </c>
      <c r="AE135" s="43">
        <f t="shared" si="127"/>
        <v>-12.67222337444416</v>
      </c>
      <c r="AF135" t="str">
        <f t="shared" si="108"/>
        <v>72.2956529813786</v>
      </c>
      <c r="AG135" t="str">
        <f t="shared" si="109"/>
        <v>1+0.183453928701303i</v>
      </c>
      <c r="AH135">
        <f t="shared" si="128"/>
        <v>1.0166884202920494</v>
      </c>
      <c r="AI135">
        <f t="shared" si="129"/>
        <v>0.1814364457362137</v>
      </c>
      <c r="AJ135" t="str">
        <f t="shared" si="110"/>
        <v>1+0.00349436054669147i</v>
      </c>
      <c r="AK135">
        <f t="shared" si="130"/>
        <v>1.000006105259178</v>
      </c>
      <c r="AL135">
        <f t="shared" si="131"/>
        <v>3.4943463241010535E-3</v>
      </c>
      <c r="AM135" t="str">
        <f t="shared" si="111"/>
        <v>1-0.000449920219513974i</v>
      </c>
      <c r="AN135">
        <f t="shared" si="132"/>
        <v>1.0000001012140969</v>
      </c>
      <c r="AO135">
        <f t="shared" si="133"/>
        <v>-4.4992018915513034E-4</v>
      </c>
      <c r="AP135" s="41" t="str">
        <f t="shared" si="134"/>
        <v>69.9809131154341-12.6181736437148i</v>
      </c>
      <c r="AQ135">
        <f t="shared" si="135"/>
        <v>37.03854005931462</v>
      </c>
      <c r="AR135" s="43">
        <f t="shared" si="136"/>
        <v>-10.221109821967707</v>
      </c>
      <c r="AS135" t="str">
        <f t="shared" si="112"/>
        <v>-0.0000166666666666667</v>
      </c>
      <c r="AT135" t="str">
        <f t="shared" si="113"/>
        <v>3.15979411136995E-06i</v>
      </c>
      <c r="AU135">
        <f t="shared" si="137"/>
        <v>3.1597941113699498E-6</v>
      </c>
      <c r="AV135">
        <f t="shared" si="138"/>
        <v>1.5707963267948966</v>
      </c>
      <c r="AW135" t="str">
        <f t="shared" si="114"/>
        <v>1+0.00315706072546047i</v>
      </c>
      <c r="AX135">
        <f t="shared" si="139"/>
        <v>1.0000049835037945</v>
      </c>
      <c r="AY135">
        <f t="shared" si="140"/>
        <v>3.1570502366809897E-3</v>
      </c>
      <c r="AZ135" t="str">
        <f t="shared" si="115"/>
        <v>1+0.107340064665656i</v>
      </c>
      <c r="BA135">
        <f t="shared" si="141"/>
        <v>1.0057444454146527</v>
      </c>
      <c r="BB135">
        <f t="shared" si="142"/>
        <v>0.10693063792811579</v>
      </c>
      <c r="BC135" s="41" t="str">
        <f t="shared" si="143"/>
        <v>-0.549518744382148+5.27634013237473i</v>
      </c>
      <c r="BD135">
        <f t="shared" si="144"/>
        <v>14.493508852313258</v>
      </c>
      <c r="BE135" s="43">
        <f t="shared" si="145"/>
        <v>95.945788599649973</v>
      </c>
      <c r="BF135" s="41" t="str">
        <f t="shared" si="146"/>
        <v>11.8936087579043+100.843915166358i</v>
      </c>
      <c r="BG135" s="20">
        <f t="shared" si="147"/>
        <v>40.132988137783897</v>
      </c>
      <c r="BH135" s="43">
        <f t="shared" si="148"/>
        <v>83.273565225205829</v>
      </c>
      <c r="BI135" s="41" t="str">
        <f t="shared" si="152"/>
        <v>28.1219524876959+376.177023308284i</v>
      </c>
      <c r="BJ135" s="20">
        <f t="shared" si="149"/>
        <v>51.532048911627875</v>
      </c>
      <c r="BK135" s="43">
        <f t="shared" si="153"/>
        <v>85.724678777682271</v>
      </c>
      <c r="BL135">
        <f t="shared" si="150"/>
        <v>40.132988137783897</v>
      </c>
      <c r="BM135" s="43">
        <f t="shared" si="151"/>
        <v>83.273565225205829</v>
      </c>
    </row>
    <row r="136" spans="14:65" x14ac:dyDescent="0.25">
      <c r="N136" s="9">
        <v>18</v>
      </c>
      <c r="O136" s="34">
        <f t="shared" si="154"/>
        <v>151.3561248436209</v>
      </c>
      <c r="P136" s="33" t="str">
        <f t="shared" si="103"/>
        <v>19.6196196196196</v>
      </c>
      <c r="Q136" s="4" t="str">
        <f t="shared" si="104"/>
        <v>1+0.230195917484344i</v>
      </c>
      <c r="R136" s="4">
        <f t="shared" si="117"/>
        <v>1.0261530882019791</v>
      </c>
      <c r="S136" s="4">
        <f t="shared" si="118"/>
        <v>0.22625445418986667</v>
      </c>
      <c r="T136" s="4" t="str">
        <f t="shared" si="105"/>
        <v>1+0.00357575465993173i</v>
      </c>
      <c r="U136" s="4">
        <f t="shared" si="119"/>
        <v>1.000006392990259</v>
      </c>
      <c r="V136" s="4">
        <f t="shared" si="120"/>
        <v>3.5757394201567901E-3</v>
      </c>
      <c r="W136" t="str">
        <f t="shared" si="106"/>
        <v>1-0.00208030939324486i</v>
      </c>
      <c r="X136" s="4">
        <f t="shared" si="121"/>
        <v>1.0000021638412446</v>
      </c>
      <c r="Y136" s="4">
        <f t="shared" si="122"/>
        <v>-2.0803063922765611E-3</v>
      </c>
      <c r="Z136" t="str">
        <f t="shared" si="107"/>
        <v>0.999999977091323+0.00139253363466186i</v>
      </c>
      <c r="AA136" s="4">
        <f t="shared" si="123"/>
        <v>1.0000009466658371</v>
      </c>
      <c r="AB136" s="4">
        <f t="shared" si="124"/>
        <v>1.3925327664534523E-3</v>
      </c>
      <c r="AC136" s="47" t="str">
        <f t="shared" si="125"/>
        <v>18.6328745505764-4.28719277319233i</v>
      </c>
      <c r="AD136" s="20">
        <f t="shared" si="126"/>
        <v>25.629634633694796</v>
      </c>
      <c r="AE136" s="43">
        <f t="shared" si="127"/>
        <v>-12.95752957042485</v>
      </c>
      <c r="AF136" t="str">
        <f t="shared" si="108"/>
        <v>72.2956529813786</v>
      </c>
      <c r="AG136" t="str">
        <f t="shared" si="109"/>
        <v>1+0.187727119646416i</v>
      </c>
      <c r="AH136">
        <f t="shared" si="128"/>
        <v>1.0174681672911148</v>
      </c>
      <c r="AI136">
        <f t="shared" si="129"/>
        <v>0.18556734711546297</v>
      </c>
      <c r="AJ136" t="str">
        <f t="shared" si="110"/>
        <v>1+0.00357575465993173i</v>
      </c>
      <c r="AK136">
        <f t="shared" si="130"/>
        <v>1.000006392990259</v>
      </c>
      <c r="AL136">
        <f t="shared" si="131"/>
        <v>3.5757394201567901E-3</v>
      </c>
      <c r="AM136" t="str">
        <f t="shared" si="111"/>
        <v>1-0.000460400207714068i</v>
      </c>
      <c r="AN136">
        <f t="shared" si="132"/>
        <v>1.0000001059841701</v>
      </c>
      <c r="AO136">
        <f t="shared" si="133"/>
        <v>-4.6040017518398111E-4</v>
      </c>
      <c r="AP136" s="41" t="str">
        <f t="shared" si="134"/>
        <v>69.8755364163682-12.8923066008015i</v>
      </c>
      <c r="AQ136">
        <f t="shared" si="135"/>
        <v>37.03188352879377</v>
      </c>
      <c r="AR136" s="43">
        <f t="shared" si="136"/>
        <v>-10.453730014666741</v>
      </c>
      <c r="AS136" t="str">
        <f t="shared" si="112"/>
        <v>-0.0000166666666666667</v>
      </c>
      <c r="AT136" t="str">
        <f t="shared" si="113"/>
        <v>3.23339517121487E-06i</v>
      </c>
      <c r="AU136">
        <f t="shared" si="137"/>
        <v>3.23339517121487E-6</v>
      </c>
      <c r="AV136">
        <f t="shared" si="138"/>
        <v>1.5707963267948966</v>
      </c>
      <c r="AW136" t="str">
        <f t="shared" si="114"/>
        <v>1+0.00323059811656849i</v>
      </c>
      <c r="AX136">
        <f t="shared" si="139"/>
        <v>1.0000052183684798</v>
      </c>
      <c r="AY136">
        <f t="shared" si="140"/>
        <v>3.2305868776419562E-3</v>
      </c>
      <c r="AZ136" t="str">
        <f t="shared" si="115"/>
        <v>1+0.109840335963328i</v>
      </c>
      <c r="BA136">
        <f t="shared" si="141"/>
        <v>1.0060143634186027</v>
      </c>
      <c r="BB136">
        <f t="shared" si="142"/>
        <v>0.10940176883890135</v>
      </c>
      <c r="BC136" s="41" t="str">
        <f t="shared" si="143"/>
        <v>-0.549518486258426+5.15631586744736i</v>
      </c>
      <c r="BD136">
        <f t="shared" si="144"/>
        <v>14.295837586757061</v>
      </c>
      <c r="BE136" s="43">
        <f t="shared" si="145"/>
        <v>96.083160632295673</v>
      </c>
      <c r="BF136" s="41" t="str">
        <f t="shared" si="146"/>
        <v>11.8670111055414+98.4328783843159i</v>
      </c>
      <c r="BG136" s="20">
        <f t="shared" si="147"/>
        <v>39.925472220451852</v>
      </c>
      <c r="BH136" s="43">
        <f t="shared" si="148"/>
        <v>83.125631061870806</v>
      </c>
      <c r="BI136" s="41" t="str">
        <f t="shared" si="152"/>
        <v>28.0789060956909+367.384897977767i</v>
      </c>
      <c r="BJ136" s="20">
        <f t="shared" si="149"/>
        <v>51.327721115550837</v>
      </c>
      <c r="BK136" s="43">
        <f t="shared" si="153"/>
        <v>85.629430617628941</v>
      </c>
      <c r="BL136">
        <f t="shared" si="150"/>
        <v>39.925472220451852</v>
      </c>
      <c r="BM136" s="43">
        <f t="shared" si="151"/>
        <v>83.125631061870806</v>
      </c>
    </row>
    <row r="137" spans="14:65" x14ac:dyDescent="0.25">
      <c r="N137" s="9">
        <v>19</v>
      </c>
      <c r="O137" s="34">
        <f t="shared" si="154"/>
        <v>154.8816618912482</v>
      </c>
      <c r="P137" s="33" t="str">
        <f t="shared" si="103"/>
        <v>19.6196196196196</v>
      </c>
      <c r="Q137" s="4" t="str">
        <f t="shared" si="104"/>
        <v>1+0.235557869213368i</v>
      </c>
      <c r="R137" s="4">
        <f t="shared" si="117"/>
        <v>1.0273692178318086</v>
      </c>
      <c r="S137" s="4">
        <f t="shared" si="118"/>
        <v>0.23134056791419416</v>
      </c>
      <c r="T137" s="4" t="str">
        <f t="shared" si="105"/>
        <v>1+0.00365904468562339i</v>
      </c>
      <c r="U137" s="4">
        <f t="shared" si="119"/>
        <v>1.0000066942815991</v>
      </c>
      <c r="V137" s="4">
        <f t="shared" si="120"/>
        <v>3.6590283559162383E-3</v>
      </c>
      <c r="W137" t="str">
        <f t="shared" si="106"/>
        <v>1-0.00212876602388329i</v>
      </c>
      <c r="X137" s="4">
        <f t="shared" si="121"/>
        <v>1.0000022658198253</v>
      </c>
      <c r="Y137" s="4">
        <f t="shared" si="122"/>
        <v>-2.1287628082882169E-3</v>
      </c>
      <c r="Z137" t="str">
        <f t="shared" si="107"/>
        <v>0.999999976011671+0.00142496990986473i</v>
      </c>
      <c r="AA137" s="4">
        <f t="shared" si="123"/>
        <v>1.0000009912808019</v>
      </c>
      <c r="AB137" s="4">
        <f t="shared" si="124"/>
        <v>1.4249689795627091E-3</v>
      </c>
      <c r="AC137" s="47" t="str">
        <f t="shared" si="125"/>
        <v>18.5888154173847-4.37667585584823i</v>
      </c>
      <c r="AD137" s="20">
        <f t="shared" si="126"/>
        <v>25.619349894767332</v>
      </c>
      <c r="AE137" s="43">
        <f t="shared" si="127"/>
        <v>-13.24880512269554</v>
      </c>
      <c r="AF137" t="str">
        <f t="shared" si="108"/>
        <v>72.2956529813786</v>
      </c>
      <c r="AG137" t="str">
        <f t="shared" si="109"/>
        <v>1+0.192099845995228i</v>
      </c>
      <c r="AH137">
        <f t="shared" si="128"/>
        <v>1.0182840226731393</v>
      </c>
      <c r="AI137">
        <f t="shared" si="129"/>
        <v>0.18978784637623525</v>
      </c>
      <c r="AJ137" t="str">
        <f t="shared" si="110"/>
        <v>1+0.00365904468562339i</v>
      </c>
      <c r="AK137">
        <f t="shared" si="130"/>
        <v>1.0000066942815991</v>
      </c>
      <c r="AL137">
        <f t="shared" si="131"/>
        <v>3.6590283559162383E-3</v>
      </c>
      <c r="AM137" t="str">
        <f t="shared" si="111"/>
        <v>1-0.000471124306198409i</v>
      </c>
      <c r="AN137">
        <f t="shared" si="132"/>
        <v>1.0000001109790497</v>
      </c>
      <c r="AO137">
        <f t="shared" si="133"/>
        <v>-4.7112427134179312E-4</v>
      </c>
      <c r="AP137" s="41" t="str">
        <f t="shared" si="134"/>
        <v>69.7655389998021-13.1714765121529i</v>
      </c>
      <c r="AQ137">
        <f t="shared" si="135"/>
        <v>37.024924211922773</v>
      </c>
      <c r="AR137" s="43">
        <f t="shared" si="136"/>
        <v>-10.691389150696896</v>
      </c>
      <c r="AS137" t="str">
        <f t="shared" si="112"/>
        <v>-0.0000166666666666667</v>
      </c>
      <c r="AT137" t="str">
        <f t="shared" si="113"/>
        <v>0.0000033087106199786i</v>
      </c>
      <c r="AU137">
        <f t="shared" si="137"/>
        <v>3.3087106199785999E-6</v>
      </c>
      <c r="AV137">
        <f t="shared" si="138"/>
        <v>1.5707963267948966</v>
      </c>
      <c r="AW137" t="str">
        <f t="shared" si="114"/>
        <v>1+0.00330584841355994i</v>
      </c>
      <c r="AX137">
        <f t="shared" si="139"/>
        <v>1.0000054643019374</v>
      </c>
      <c r="AY137">
        <f t="shared" si="140"/>
        <v>3.3058363708367428E-3</v>
      </c>
      <c r="AZ137" t="str">
        <f t="shared" si="115"/>
        <v>1+0.112398846061038i</v>
      </c>
      <c r="BA137">
        <f t="shared" si="141"/>
        <v>1.0062969246677906</v>
      </c>
      <c r="BB137">
        <f t="shared" si="142"/>
        <v>0.1119290715939656</v>
      </c>
      <c r="BC137" s="41" t="str">
        <f t="shared" si="143"/>
        <v>-0.549518215969978+5.03902554936623i</v>
      </c>
      <c r="BD137">
        <f t="shared" si="144"/>
        <v>14.098274731117716</v>
      </c>
      <c r="BE137" s="43">
        <f t="shared" si="145"/>
        <v>96.223652935342074</v>
      </c>
      <c r="BF137" s="41" t="str">
        <f t="shared" si="146"/>
        <v>11.8392887737571+96.074578928839i</v>
      </c>
      <c r="BG137" s="20">
        <f t="shared" si="147"/>
        <v>39.717624625885051</v>
      </c>
      <c r="BH137" s="43">
        <f t="shared" si="148"/>
        <v>82.97484781264653</v>
      </c>
      <c r="BI137" s="41" t="str">
        <f t="shared" si="152"/>
        <v>28.0339721402605+358.788299759958i</v>
      </c>
      <c r="BJ137" s="20">
        <f t="shared" si="149"/>
        <v>51.123198943040499</v>
      </c>
      <c r="BK137" s="43">
        <f t="shared" si="153"/>
        <v>85.532263784645181</v>
      </c>
      <c r="BL137">
        <f t="shared" si="150"/>
        <v>39.717624625885051</v>
      </c>
      <c r="BM137" s="43">
        <f t="shared" si="151"/>
        <v>82.97484781264653</v>
      </c>
    </row>
    <row r="138" spans="14:65" x14ac:dyDescent="0.25">
      <c r="N138" s="9">
        <v>20</v>
      </c>
      <c r="O138" s="34">
        <f t="shared" si="154"/>
        <v>158.48931924611153</v>
      </c>
      <c r="P138" s="33" t="str">
        <f t="shared" si="103"/>
        <v>19.6196196196196</v>
      </c>
      <c r="Q138" s="4" t="str">
        <f t="shared" si="104"/>
        <v>1+0.241044716842626i</v>
      </c>
      <c r="R138" s="4">
        <f t="shared" si="117"/>
        <v>1.0286411208569011</v>
      </c>
      <c r="S138" s="4">
        <f t="shared" si="118"/>
        <v>0.23653256476399567</v>
      </c>
      <c r="T138" s="4" t="str">
        <f t="shared" si="105"/>
        <v>1+0.00374427478524055i</v>
      </c>
      <c r="U138" s="4">
        <f t="shared" si="119"/>
        <v>1.0000070097722653</v>
      </c>
      <c r="V138" s="4">
        <f t="shared" si="120"/>
        <v>3.7442572876507122E-3</v>
      </c>
      <c r="W138" t="str">
        <f t="shared" si="106"/>
        <v>1-0.00217835135444514i</v>
      </c>
      <c r="X138" s="4">
        <f t="shared" si="121"/>
        <v>1.0000023726044971</v>
      </c>
      <c r="Y138" s="4">
        <f t="shared" si="122"/>
        <v>-2.178347908873383E-3</v>
      </c>
      <c r="Z138" t="str">
        <f t="shared" si="107"/>
        <v>0.999999974881136+0.00145816172297552i</v>
      </c>
      <c r="AA138" s="4">
        <f t="shared" si="123"/>
        <v>1.0000010379984028</v>
      </c>
      <c r="AB138" s="4">
        <f t="shared" si="124"/>
        <v>1.4581607261390005E-3</v>
      </c>
      <c r="AC138" s="47" t="str">
        <f t="shared" si="125"/>
        <v>18.5429027525624-4.46755473821662i</v>
      </c>
      <c r="AD138" s="20">
        <f t="shared" si="126"/>
        <v>25.608606507809132</v>
      </c>
      <c r="AE138" s="43">
        <f t="shared" si="127"/>
        <v>-13.54614413533735</v>
      </c>
      <c r="AF138" t="str">
        <f t="shared" si="108"/>
        <v>72.2956529813786</v>
      </c>
      <c r="AG138" t="str">
        <f t="shared" si="109"/>
        <v>1+0.196574426225129i</v>
      </c>
      <c r="AH138">
        <f t="shared" si="128"/>
        <v>1.0191376281178801</v>
      </c>
      <c r="AI138">
        <f t="shared" si="129"/>
        <v>0.19409957956619917</v>
      </c>
      <c r="AJ138" t="str">
        <f t="shared" si="110"/>
        <v>1+0.00374427478524055i</v>
      </c>
      <c r="AK138">
        <f t="shared" si="130"/>
        <v>1.0000070097722653</v>
      </c>
      <c r="AL138">
        <f t="shared" si="131"/>
        <v>3.7442572876507122E-3</v>
      </c>
      <c r="AM138" t="str">
        <f t="shared" si="111"/>
        <v>1-0.000482098201025965i</v>
      </c>
      <c r="AN138">
        <f t="shared" si="132"/>
        <v>1.000000116209331</v>
      </c>
      <c r="AO138">
        <f t="shared" si="133"/>
        <v>-4.8209816367642845E-4</v>
      </c>
      <c r="AP138" s="41" t="str">
        <f t="shared" si="134"/>
        <v>69.650734615637-13.4557120069312i</v>
      </c>
      <c r="AQ138">
        <f t="shared" si="135"/>
        <v>37.017648854593396</v>
      </c>
      <c r="AR138" s="43">
        <f t="shared" si="136"/>
        <v>-10.934178764503091</v>
      </c>
      <c r="AS138" t="str">
        <f t="shared" si="112"/>
        <v>-0.0000166666666666667</v>
      </c>
      <c r="AT138" t="str">
        <f t="shared" si="113"/>
        <v>3.38578039090901E-06i</v>
      </c>
      <c r="AU138">
        <f t="shared" si="137"/>
        <v>3.38578039090901E-6</v>
      </c>
      <c r="AV138">
        <f t="shared" si="138"/>
        <v>1.5707963267948966</v>
      </c>
      <c r="AW138" t="str">
        <f t="shared" si="114"/>
        <v>1+0.00338285151513834i</v>
      </c>
      <c r="AX138">
        <f t="shared" si="139"/>
        <v>1.0000057218258172</v>
      </c>
      <c r="AY138">
        <f t="shared" si="140"/>
        <v>3.3828386111319345E-3</v>
      </c>
      <c r="AZ138" t="str">
        <f t="shared" si="115"/>
        <v>1+0.115016951514703i</v>
      </c>
      <c r="BA138">
        <f t="shared" si="141"/>
        <v>1.006592717605157</v>
      </c>
      <c r="BB138">
        <f t="shared" si="142"/>
        <v>0.11451375699231343</v>
      </c>
      <c r="BC138" s="41" t="str">
        <f t="shared" si="143"/>
        <v>-0.549517932943506+4.92440698924651i</v>
      </c>
      <c r="BD138">
        <f t="shared" si="144"/>
        <v>13.900825266971191</v>
      </c>
      <c r="BE138" s="43">
        <f t="shared" si="145"/>
        <v>96.367332596654521</v>
      </c>
      <c r="BF138" s="41" t="str">
        <f t="shared" si="146"/>
        <v>11.8104001863547+93.7678013606934i</v>
      </c>
      <c r="BG138" s="20">
        <f t="shared" si="147"/>
        <v>39.509431774780325</v>
      </c>
      <c r="BH138" s="43">
        <f t="shared" si="148"/>
        <v>82.821188461317192</v>
      </c>
      <c r="BI138" s="41" t="str">
        <f t="shared" si="152"/>
        <v>27.9870745382386+350.382719395729i</v>
      </c>
      <c r="BJ138" s="20">
        <f t="shared" si="149"/>
        <v>50.9184741215646</v>
      </c>
      <c r="BK138" s="43">
        <f t="shared" si="153"/>
        <v>85.433153832151433</v>
      </c>
      <c r="BL138">
        <f t="shared" si="150"/>
        <v>39.509431774780325</v>
      </c>
      <c r="BM138" s="43">
        <f t="shared" si="151"/>
        <v>82.821188461317192</v>
      </c>
    </row>
    <row r="139" spans="14:65" x14ac:dyDescent="0.25">
      <c r="N139" s="9">
        <v>21</v>
      </c>
      <c r="O139" s="34">
        <f t="shared" si="154"/>
        <v>162.18100973589304</v>
      </c>
      <c r="P139" s="33" t="str">
        <f t="shared" si="103"/>
        <v>19.6196196196196</v>
      </c>
      <c r="Q139" s="4" t="str">
        <f t="shared" si="104"/>
        <v>1+0.246659369571357i</v>
      </c>
      <c r="R139" s="4">
        <f t="shared" si="117"/>
        <v>1.0299712833848036</v>
      </c>
      <c r="S139" s="4">
        <f t="shared" si="118"/>
        <v>0.2418320774342356</v>
      </c>
      <c r="T139" s="4" t="str">
        <f t="shared" si="105"/>
        <v>1+0.00383149014891017i</v>
      </c>
      <c r="U139" s="4">
        <f t="shared" si="119"/>
        <v>1.0000073401314418</v>
      </c>
      <c r="V139" s="4">
        <f t="shared" si="120"/>
        <v>3.8314713999122968E-3</v>
      </c>
      <c r="W139" t="str">
        <f t="shared" si="106"/>
        <v>1-0.00222909167572899i</v>
      </c>
      <c r="X139" s="4">
        <f t="shared" si="121"/>
        <v>1.0000024844217632</v>
      </c>
      <c r="Y139" s="4">
        <f t="shared" si="122"/>
        <v>-2.2290879837328298E-3</v>
      </c>
      <c r="Z139" t="str">
        <f t="shared" si="107"/>
        <v>0.99999997369732+0.00149212667273287i</v>
      </c>
      <c r="AA139" s="4">
        <f t="shared" si="123"/>
        <v>1.0000010869177334</v>
      </c>
      <c r="AB139" s="4">
        <f t="shared" si="124"/>
        <v>1.4921256046033584E-3</v>
      </c>
      <c r="AC139" s="47" t="str">
        <f t="shared" si="125"/>
        <v>18.4950688991443-4.55981879962149i</v>
      </c>
      <c r="AD139" s="20">
        <f t="shared" si="126"/>
        <v>25.59738523018185</v>
      </c>
      <c r="AE139" s="43">
        <f t="shared" si="127"/>
        <v>-13.849640080600928</v>
      </c>
      <c r="AF139" t="str">
        <f t="shared" si="108"/>
        <v>72.2956529813786</v>
      </c>
      <c r="AG139" t="str">
        <f t="shared" si="109"/>
        <v>1+0.201153232817784i</v>
      </c>
      <c r="AH139">
        <f t="shared" si="128"/>
        <v>1.0200306971229081</v>
      </c>
      <c r="AI139">
        <f t="shared" si="129"/>
        <v>0.19850419123766791</v>
      </c>
      <c r="AJ139" t="str">
        <f t="shared" si="110"/>
        <v>1+0.00383149014891017i</v>
      </c>
      <c r="AK139">
        <f t="shared" si="130"/>
        <v>1.0000073401314418</v>
      </c>
      <c r="AL139">
        <f t="shared" si="131"/>
        <v>3.8314713999122968E-3</v>
      </c>
      <c r="AM139" t="str">
        <f t="shared" si="111"/>
        <v>1-0.000493327710701026i</v>
      </c>
      <c r="AN139">
        <f t="shared" si="132"/>
        <v>1.0000001216861076</v>
      </c>
      <c r="AO139">
        <f t="shared" si="133"/>
        <v>-4.9332767068027683E-4</v>
      </c>
      <c r="AP139" s="41" t="str">
        <f t="shared" si="134"/>
        <v>69.5309310210376-13.7450369224838i</v>
      </c>
      <c r="AQ139">
        <f t="shared" si="135"/>
        <v>37.010043670581744</v>
      </c>
      <c r="AR139" s="43">
        <f t="shared" si="136"/>
        <v>-11.18219082648308</v>
      </c>
      <c r="AS139" t="str">
        <f t="shared" si="112"/>
        <v>-0.0000166666666666667</v>
      </c>
      <c r="AT139" t="str">
        <f t="shared" si="113"/>
        <v>3.46464534741878E-06i</v>
      </c>
      <c r="AU139">
        <f t="shared" si="137"/>
        <v>3.46464534741878E-6</v>
      </c>
      <c r="AV139">
        <f t="shared" si="138"/>
        <v>1.5707963267948966</v>
      </c>
      <c r="AW139" t="str">
        <f t="shared" si="114"/>
        <v>1+0.00346164824936738i</v>
      </c>
      <c r="AX139">
        <f t="shared" si="139"/>
        <v>1.0000059914863522</v>
      </c>
      <c r="AY139">
        <f t="shared" si="140"/>
        <v>3.4616344224798756E-3</v>
      </c>
      <c r="AZ139" t="str">
        <f t="shared" si="115"/>
        <v>1+0.117696040478491i</v>
      </c>
      <c r="BA139">
        <f t="shared" si="141"/>
        <v>1.0069023577012395</v>
      </c>
      <c r="BB139">
        <f t="shared" si="142"/>
        <v>0.11715705725564954</v>
      </c>
      <c r="BC139" s="41" t="str">
        <f t="shared" si="143"/>
        <v>-0.549517636578723+4.81239941480444i</v>
      </c>
      <c r="BD139">
        <f t="shared" si="144"/>
        <v>13.703494398596129</v>
      </c>
      <c r="BE139" s="43">
        <f t="shared" si="145"/>
        <v>96.514267878295954</v>
      </c>
      <c r="BF139" s="41" t="str">
        <f t="shared" si="146"/>
        <v>11.7803027730943+91.5113595970051i</v>
      </c>
      <c r="BG139" s="20">
        <f t="shared" si="147"/>
        <v>39.300879628777984</v>
      </c>
      <c r="BH139" s="43">
        <f t="shared" si="148"/>
        <v>82.664627797695047</v>
      </c>
      <c r="BI139" s="41" t="str">
        <f t="shared" si="152"/>
        <v>27.9381347584277+342.16375196078i</v>
      </c>
      <c r="BJ139" s="20">
        <f t="shared" si="149"/>
        <v>50.713538069177879</v>
      </c>
      <c r="BK139" s="43">
        <f t="shared" si="153"/>
        <v>85.332077051812874</v>
      </c>
      <c r="BL139">
        <f t="shared" si="150"/>
        <v>39.300879628777984</v>
      </c>
      <c r="BM139" s="43">
        <f t="shared" si="151"/>
        <v>82.664627797695047</v>
      </c>
    </row>
    <row r="140" spans="14:65" x14ac:dyDescent="0.25">
      <c r="N140" s="9">
        <v>22</v>
      </c>
      <c r="O140" s="34">
        <f t="shared" si="154"/>
        <v>165.95869074375622</v>
      </c>
      <c r="P140" s="33" t="str">
        <f t="shared" si="103"/>
        <v>19.6196196196196</v>
      </c>
      <c r="Q140" s="4" t="str">
        <f t="shared" si="104"/>
        <v>1+0.252404804362759i</v>
      </c>
      <c r="R140" s="4">
        <f t="shared" si="117"/>
        <v>1.0313622958327509</v>
      </c>
      <c r="S140" s="4">
        <f t="shared" si="118"/>
        <v>0.24724072459246899</v>
      </c>
      <c r="T140" s="4" t="str">
        <f t="shared" si="105"/>
        <v>1+0.00392073701937253i</v>
      </c>
      <c r="U140" s="4">
        <f t="shared" si="119"/>
        <v>1.0000076860598497</v>
      </c>
      <c r="V140" s="4">
        <f t="shared" si="120"/>
        <v>3.920716929467695E-3</v>
      </c>
      <c r="W140" t="str">
        <f t="shared" si="106"/>
        <v>1-0.00228101389092485i</v>
      </c>
      <c r="X140" s="4">
        <f t="shared" si="121"/>
        <v>1.0000026015088015</v>
      </c>
      <c r="Y140" s="4">
        <f t="shared" si="122"/>
        <v>-2.2810099348802453E-3</v>
      </c>
      <c r="Z140" t="str">
        <f t="shared" si="107"/>
        <v>0.999999972457713+0.00152688276780275i</v>
      </c>
      <c r="AA140" s="4">
        <f t="shared" si="123"/>
        <v>1.0000011381425591</v>
      </c>
      <c r="AB140" s="4">
        <f t="shared" si="124"/>
        <v>1.5268816232814281E-3</v>
      </c>
      <c r="AC140" s="47" t="str">
        <f t="shared" si="125"/>
        <v>18.4452446648956-4.6534547599493i</v>
      </c>
      <c r="AD140" s="20">
        <f t="shared" si="126"/>
        <v>25.585666121607385</v>
      </c>
      <c r="AE140" s="43">
        <f t="shared" si="127"/>
        <v>-14.159385625306918</v>
      </c>
      <c r="AF140" t="str">
        <f t="shared" si="108"/>
        <v>72.2956529813786</v>
      </c>
      <c r="AG140" t="str">
        <f t="shared" si="109"/>
        <v>1+0.205838693517058i</v>
      </c>
      <c r="AH140">
        <f t="shared" si="128"/>
        <v>1.0209650178869056</v>
      </c>
      <c r="AI140">
        <f t="shared" si="129"/>
        <v>0.20300333283066838</v>
      </c>
      <c r="AJ140" t="str">
        <f t="shared" si="110"/>
        <v>1+0.00392073701937253i</v>
      </c>
      <c r="AK140">
        <f t="shared" si="130"/>
        <v>1.0000076860598497</v>
      </c>
      <c r="AL140">
        <f t="shared" si="131"/>
        <v>3.920716929467695E-3</v>
      </c>
      <c r="AM140" t="str">
        <f t="shared" si="111"/>
        <v>1-0.000504818789258269i</v>
      </c>
      <c r="AN140">
        <f t="shared" si="132"/>
        <v>1.0000001274209969</v>
      </c>
      <c r="AO140">
        <f t="shared" si="133"/>
        <v>-5.0481874637526387E-4</v>
      </c>
      <c r="AP140" s="41" t="str">
        <f t="shared" si="134"/>
        <v>69.4059299314176-14.0394699004424i</v>
      </c>
      <c r="AQ140">
        <f t="shared" si="135"/>
        <v>37.00209432462924</v>
      </c>
      <c r="AR140" s="43">
        <f t="shared" si="136"/>
        <v>-11.435517649149267</v>
      </c>
      <c r="AS140" t="str">
        <f t="shared" si="112"/>
        <v>-0.0000166666666666667</v>
      </c>
      <c r="AT140" t="str">
        <f t="shared" si="113"/>
        <v>3.54534730475176E-06i</v>
      </c>
      <c r="AU140">
        <f t="shared" si="137"/>
        <v>3.5453473047517602E-6</v>
      </c>
      <c r="AV140">
        <f t="shared" si="138"/>
        <v>1.5707963267948966</v>
      </c>
      <c r="AW140" t="str">
        <f t="shared" si="114"/>
        <v>1+0.00354228039531859i</v>
      </c>
      <c r="AX140">
        <f t="shared" si="139"/>
        <v>1.0000062738555189</v>
      </c>
      <c r="AY140">
        <f t="shared" si="140"/>
        <v>3.5422655795467181E-3</v>
      </c>
      <c r="AZ140" t="str">
        <f t="shared" si="115"/>
        <v>1+0.120437533440832i</v>
      </c>
      <c r="BA140">
        <f t="shared" si="141"/>
        <v>1.0072264886614686</v>
      </c>
      <c r="BB140">
        <f t="shared" si="142"/>
        <v>0.11986022606636562</v>
      </c>
      <c r="BC140" s="41" t="str">
        <f t="shared" si="143"/>
        <v>-0.54951732624704+4.70294343813501i</v>
      </c>
      <c r="BD140">
        <f t="shared" si="144"/>
        <v>13.506287562339882</v>
      </c>
      <c r="BE140" s="43">
        <f t="shared" si="145"/>
        <v>96.664528217464195</v>
      </c>
      <c r="BF140" s="41" t="str">
        <f t="shared" si="146"/>
        <v>11.7489529977358+89.3040963790645i</v>
      </c>
      <c r="BG140" s="20">
        <f t="shared" si="147"/>
        <v>39.091953683947274</v>
      </c>
      <c r="BH140" s="43">
        <f t="shared" si="148"/>
        <v>82.505142592157284</v>
      </c>
      <c r="BI140" s="41" t="str">
        <f t="shared" si="152"/>
        <v>27.8870718015776+334.127094700236i</v>
      </c>
      <c r="BJ140" s="20">
        <f t="shared" si="149"/>
        <v>50.508381886969133</v>
      </c>
      <c r="BK140" s="43">
        <f t="shared" si="153"/>
        <v>85.229010568314948</v>
      </c>
      <c r="BL140">
        <f t="shared" si="150"/>
        <v>39.091953683947274</v>
      </c>
      <c r="BM140" s="43">
        <f t="shared" si="151"/>
        <v>82.505142592157284</v>
      </c>
    </row>
    <row r="141" spans="14:65" x14ac:dyDescent="0.25">
      <c r="N141" s="9">
        <v>23</v>
      </c>
      <c r="O141" s="34">
        <f t="shared" si="154"/>
        <v>169.82436524617444</v>
      </c>
      <c r="P141" s="33" t="str">
        <f t="shared" si="103"/>
        <v>19.6196196196196</v>
      </c>
      <c r="Q141" s="4" t="str">
        <f t="shared" si="104"/>
        <v>1+0.258284067522405i</v>
      </c>
      <c r="R141" s="4">
        <f t="shared" si="117"/>
        <v>1.0328168567252949</v>
      </c>
      <c r="S141" s="4">
        <f t="shared" si="118"/>
        <v>0.25276010765978035</v>
      </c>
      <c r="T141" s="4" t="str">
        <f t="shared" si="105"/>
        <v>1+0.00401206271649963i</v>
      </c>
      <c r="U141" s="4">
        <f t="shared" si="119"/>
        <v>1.000008048291233</v>
      </c>
      <c r="V141" s="4">
        <f t="shared" si="120"/>
        <v>4.012041189788115E-3</v>
      </c>
      <c r="W141" t="str">
        <f t="shared" si="106"/>
        <v>1-0.00233414552987844i</v>
      </c>
      <c r="X141" s="4">
        <f t="shared" si="121"/>
        <v>1.0000027241139668</v>
      </c>
      <c r="Y141" s="4">
        <f t="shared" si="122"/>
        <v>-2.3341412909008972E-3</v>
      </c>
      <c r="Z141" t="str">
        <f t="shared" si="107"/>
        <v>0.999999971159685+0.00156244843632679i</v>
      </c>
      <c r="AA141" s="4">
        <f t="shared" si="123"/>
        <v>1.0000011917815332</v>
      </c>
      <c r="AB141" s="4">
        <f t="shared" si="124"/>
        <v>1.5624472099501773E-3</v>
      </c>
      <c r="AC141" s="47" t="str">
        <f t="shared" si="125"/>
        <v>18.3933593767717-4.74844651569654i</v>
      </c>
      <c r="AD141" s="20">
        <f t="shared" si="126"/>
        <v>25.573428528792611</v>
      </c>
      <c r="AE141" s="43">
        <f t="shared" si="127"/>
        <v>-14.475472446368226</v>
      </c>
      <c r="AF141" t="str">
        <f t="shared" si="108"/>
        <v>72.2956529813786</v>
      </c>
      <c r="AG141" t="str">
        <f t="shared" si="109"/>
        <v>1+0.210633292616231i</v>
      </c>
      <c r="AH141">
        <f t="shared" si="128"/>
        <v>1.0219424562852621</v>
      </c>
      <c r="AI141">
        <f t="shared" si="129"/>
        <v>0.20759866092195992</v>
      </c>
      <c r="AJ141" t="str">
        <f t="shared" si="110"/>
        <v>1+0.00401206271649963i</v>
      </c>
      <c r="AK141">
        <f t="shared" si="130"/>
        <v>1.000008048291233</v>
      </c>
      <c r="AL141">
        <f t="shared" si="131"/>
        <v>4.012041189788115E-3</v>
      </c>
      <c r="AM141" t="str">
        <f t="shared" si="111"/>
        <v>1-0.00051657752941964i</v>
      </c>
      <c r="AN141">
        <f t="shared" si="132"/>
        <v>1.000000133426163</v>
      </c>
      <c r="AO141">
        <f t="shared" si="133"/>
        <v>-5.1657748346967255E-4</v>
      </c>
      <c r="AP141" s="41" t="str">
        <f t="shared" si="134"/>
        <v>69.2755269869091-14.3390239628906i</v>
      </c>
      <c r="AQ141">
        <f t="shared" si="135"/>
        <v>36.993785915408012</v>
      </c>
      <c r="AR141" s="43">
        <f t="shared" si="136"/>
        <v>-11.694251785582592</v>
      </c>
      <c r="AS141" t="str">
        <f t="shared" si="112"/>
        <v>-0.0000166666666666667</v>
      </c>
      <c r="AT141" t="str">
        <f t="shared" si="113"/>
        <v>3.62792905215393E-06i</v>
      </c>
      <c r="AU141">
        <f t="shared" si="137"/>
        <v>3.62792905215393E-6</v>
      </c>
      <c r="AV141">
        <f t="shared" si="138"/>
        <v>1.5707963267948966</v>
      </c>
      <c r="AW141" t="str">
        <f t="shared" si="114"/>
        <v>1+0.003624790705223i</v>
      </c>
      <c r="AX141">
        <f t="shared" si="139"/>
        <v>1.0000065695322491</v>
      </c>
      <c r="AY141">
        <f t="shared" si="140"/>
        <v>3.6247748298430496E-3</v>
      </c>
      <c r="AZ141" t="str">
        <f t="shared" si="115"/>
        <v>1+0.123242883977582i</v>
      </c>
      <c r="BA141">
        <f t="shared" si="141"/>
        <v>1.007565783684178</v>
      </c>
      <c r="BB141">
        <f t="shared" si="142"/>
        <v>0.12262453857627532</v>
      </c>
      <c r="BC141" s="41" t="str">
        <f t="shared" si="143"/>
        <v>-0.549517001290249+4.59598102422368i</v>
      </c>
      <c r="BD141">
        <f t="shared" si="144"/>
        <v>13.309210436322083</v>
      </c>
      <c r="BE141" s="43">
        <f t="shared" si="145"/>
        <v>96.818184225724451</v>
      </c>
      <c r="BF141" s="41" t="str">
        <f t="shared" si="146"/>
        <v>11.7163063923049+87.1448827574621i</v>
      </c>
      <c r="BG141" s="20">
        <f t="shared" si="147"/>
        <v>38.882638965114694</v>
      </c>
      <c r="BH141" s="43">
        <f t="shared" si="148"/>
        <v>82.342711779356222</v>
      </c>
      <c r="BI141" s="41" t="str">
        <f t="shared" si="152"/>
        <v>27.8338021866858+326.268544924446i</v>
      </c>
      <c r="BJ141" s="20">
        <f t="shared" si="149"/>
        <v>50.302996351730087</v>
      </c>
      <c r="BK141" s="43">
        <f t="shared" si="153"/>
        <v>85.123932440141871</v>
      </c>
      <c r="BL141">
        <f t="shared" si="150"/>
        <v>38.882638965114694</v>
      </c>
      <c r="BM141" s="43">
        <f t="shared" si="151"/>
        <v>82.342711779356222</v>
      </c>
    </row>
    <row r="142" spans="14:65" x14ac:dyDescent="0.25">
      <c r="N142" s="9">
        <v>24</v>
      </c>
      <c r="O142" s="34">
        <f t="shared" si="154"/>
        <v>173.78008287493768</v>
      </c>
      <c r="P142" s="33" t="str">
        <f t="shared" si="103"/>
        <v>19.6196196196196</v>
      </c>
      <c r="Q142" s="4" t="str">
        <f t="shared" si="104"/>
        <v>1+0.264300276313447i</v>
      </c>
      <c r="R142" s="4">
        <f t="shared" si="117"/>
        <v>1.0343377765794712</v>
      </c>
      <c r="S142" s="4">
        <f t="shared" si="118"/>
        <v>0.25839180739664347</v>
      </c>
      <c r="T142" s="4" t="str">
        <f t="shared" si="105"/>
        <v>1+0.00410551566238497i</v>
      </c>
      <c r="U142" s="4">
        <f t="shared" si="119"/>
        <v>1.000008427593915</v>
      </c>
      <c r="V142" s="4">
        <f t="shared" si="120"/>
        <v>4.1054925961085034E-3</v>
      </c>
      <c r="W142" t="str">
        <f t="shared" si="106"/>
        <v>1-0.00238851476368807i</v>
      </c>
      <c r="X142" s="4">
        <f t="shared" si="121"/>
        <v>1.0000028524973199</v>
      </c>
      <c r="Y142" s="4">
        <f t="shared" si="122"/>
        <v>-2.3885102215424983E-3</v>
      </c>
      <c r="Z142" t="str">
        <f t="shared" si="107"/>
        <v>0.999999969800483+0.00159884253569324i</v>
      </c>
      <c r="AA142" s="4">
        <f t="shared" si="123"/>
        <v>1.0000012479484317</v>
      </c>
      <c r="AB142" s="4">
        <f t="shared" si="124"/>
        <v>1.5988412216071122E-3</v>
      </c>
      <c r="AC142" s="47" t="str">
        <f t="shared" si="125"/>
        <v>18.3393409460499-4.84477497171706i</v>
      </c>
      <c r="AD142" s="20">
        <f t="shared" si="126"/>
        <v>25.560651070664463</v>
      </c>
      <c r="AE142" s="43">
        <f t="shared" si="127"/>
        <v>-14.797991035133618</v>
      </c>
      <c r="AF142" t="str">
        <f t="shared" si="108"/>
        <v>72.2956529813786</v>
      </c>
      <c r="AG142" t="str">
        <f t="shared" si="109"/>
        <v>1+0.215539572275211i</v>
      </c>
      <c r="AH142">
        <f t="shared" si="128"/>
        <v>1.0229649589387608</v>
      </c>
      <c r="AI142">
        <f t="shared" si="129"/>
        <v>0.21229183533353641</v>
      </c>
      <c r="AJ142" t="str">
        <f t="shared" si="110"/>
        <v>1+0.00410551566238497i</v>
      </c>
      <c r="AK142">
        <f t="shared" si="130"/>
        <v>1.000008427593915</v>
      </c>
      <c r="AL142">
        <f t="shared" si="131"/>
        <v>4.1054925961085034E-3</v>
      </c>
      <c r="AM142" t="str">
        <f t="shared" si="111"/>
        <v>1-0.000528610165824825i</v>
      </c>
      <c r="AN142">
        <f t="shared" si="132"/>
        <v>1.0000001397143441</v>
      </c>
      <c r="AO142">
        <f t="shared" si="133"/>
        <v>-5.2861011658854816E-4</v>
      </c>
      <c r="AP142" s="41" t="str">
        <f t="shared" si="134"/>
        <v>69.1395117361496-14.6437060684001i</v>
      </c>
      <c r="AQ142">
        <f t="shared" si="135"/>
        <v>36.985102958416277</v>
      </c>
      <c r="AR142" s="43">
        <f t="shared" si="136"/>
        <v>-11.958485919807083</v>
      </c>
      <c r="AS142" t="str">
        <f t="shared" si="112"/>
        <v>-0.0000166666666666667</v>
      </c>
      <c r="AT142" t="str">
        <f t="shared" si="113"/>
        <v>3.71243437556088E-06i</v>
      </c>
      <c r="AU142">
        <f t="shared" si="137"/>
        <v>3.7124343755608799E-6</v>
      </c>
      <c r="AV142">
        <f t="shared" si="138"/>
        <v>1.5707963267948966</v>
      </c>
      <c r="AW142" t="str">
        <f t="shared" si="114"/>
        <v>1+0.00370922292713912i</v>
      </c>
      <c r="AX142">
        <f t="shared" si="139"/>
        <v>1.0000068791437002</v>
      </c>
      <c r="AY142">
        <f t="shared" si="140"/>
        <v>3.7092059163693456E-3</v>
      </c>
      <c r="AZ142" t="str">
        <f t="shared" si="115"/>
        <v>1+0.12611357952273i</v>
      </c>
      <c r="BA142">
        <f t="shared" si="141"/>
        <v>1.0079209467711423</v>
      </c>
      <c r="BB142">
        <f t="shared" si="142"/>
        <v>0.12545129138357786</v>
      </c>
      <c r="BC142" s="41" t="str">
        <f t="shared" si="143"/>
        <v>-0.549516661019131+4.49145546017531i</v>
      </c>
      <c r="BD142">
        <f t="shared" si="144"/>
        <v>13.112268950482155</v>
      </c>
      <c r="BE142" s="43">
        <f t="shared" si="145"/>
        <v>96.975307686392</v>
      </c>
      <c r="BF142" s="41" t="str">
        <f t="shared" si="146"/>
        <v>11.6823175980745+85.0326175939995i</v>
      </c>
      <c r="BG142" s="20">
        <f t="shared" si="147"/>
        <v>38.672920021146624</v>
      </c>
      <c r="BH142" s="43">
        <f t="shared" si="148"/>
        <v>82.177316651258394</v>
      </c>
      <c r="BI142" s="41" t="str">
        <f t="shared" si="152"/>
        <v>27.778239944376+318.583997964837i</v>
      </c>
      <c r="BJ142" s="20">
        <f t="shared" si="149"/>
        <v>50.097371908898438</v>
      </c>
      <c r="BK142" s="43">
        <f t="shared" si="153"/>
        <v>85.016821766584926</v>
      </c>
      <c r="BL142">
        <f t="shared" si="150"/>
        <v>38.672920021146624</v>
      </c>
      <c r="BM142" s="43">
        <f t="shared" si="151"/>
        <v>82.177316651258394</v>
      </c>
    </row>
    <row r="143" spans="14:65" x14ac:dyDescent="0.25">
      <c r="N143" s="9">
        <v>25</v>
      </c>
      <c r="O143" s="34">
        <f t="shared" si="154"/>
        <v>177.82794100389242</v>
      </c>
      <c r="P143" s="33" t="str">
        <f t="shared" si="103"/>
        <v>19.6196196196196</v>
      </c>
      <c r="Q143" s="4" t="str">
        <f t="shared" si="104"/>
        <v>1+0.270456620609419i</v>
      </c>
      <c r="R143" s="4">
        <f t="shared" si="117"/>
        <v>1.035927981874931</v>
      </c>
      <c r="S143" s="4">
        <f t="shared" si="118"/>
        <v>0.26413738028885519</v>
      </c>
      <c r="T143" s="4" t="str">
        <f t="shared" si="105"/>
        <v>1+0.00420114540701744i</v>
      </c>
      <c r="U143" s="4">
        <f t="shared" si="119"/>
        <v>1.000008824772427</v>
      </c>
      <c r="V143" s="4">
        <f t="shared" si="120"/>
        <v>4.2011206910686849E-3</v>
      </c>
      <c r="W143" t="str">
        <f t="shared" si="106"/>
        <v>1-0.00244415041964113i</v>
      </c>
      <c r="X143" s="4">
        <f t="shared" si="121"/>
        <v>1.000002986931176</v>
      </c>
      <c r="Y143" s="4">
        <f t="shared" si="122"/>
        <v>-2.4441455526452477E-3</v>
      </c>
      <c r="Z143" t="str">
        <f t="shared" si="107"/>
        <v>0.999999968377223+0.00163608436253529i</v>
      </c>
      <c r="AA143" s="4">
        <f t="shared" si="123"/>
        <v>1.0000013067623903</v>
      </c>
      <c r="AB143" s="4">
        <f t="shared" si="124"/>
        <v>1.6360829544667355E-3</v>
      </c>
      <c r="AC143" s="47" t="str">
        <f t="shared" si="125"/>
        <v>18.2831159449303-4.94241786910134i</v>
      </c>
      <c r="AD143" s="20">
        <f t="shared" si="126"/>
        <v>25.547311624327392</v>
      </c>
      <c r="AE143" s="43">
        <f t="shared" si="127"/>
        <v>-15.127030490276614</v>
      </c>
      <c r="AF143" t="str">
        <f t="shared" si="108"/>
        <v>72.2956529813786</v>
      </c>
      <c r="AG143" t="str">
        <f t="shared" si="109"/>
        <v>1+0.220560133868416i</v>
      </c>
      <c r="AH143">
        <f t="shared" si="128"/>
        <v>1.0240345563759328</v>
      </c>
      <c r="AI143">
        <f t="shared" si="129"/>
        <v>0.21708451709404597</v>
      </c>
      <c r="AJ143" t="str">
        <f t="shared" si="110"/>
        <v>1+0.00420114540701744i</v>
      </c>
      <c r="AK143">
        <f t="shared" si="130"/>
        <v>1.000008824772427</v>
      </c>
      <c r="AL143">
        <f t="shared" si="131"/>
        <v>4.2011206910686849E-3</v>
      </c>
      <c r="AM143" t="str">
        <f t="shared" si="111"/>
        <v>1-0.000540923078336912i</v>
      </c>
      <c r="AN143">
        <f t="shared" si="132"/>
        <v>1.0000001462988777</v>
      </c>
      <c r="AO143">
        <f t="shared" si="133"/>
        <v>-5.4092302557929119E-4</v>
      </c>
      <c r="AP143" s="41" t="str">
        <f t="shared" si="134"/>
        <v>68.9976676393475-14.953516647834i</v>
      </c>
      <c r="AQ143">
        <f t="shared" si="135"/>
        <v>36.976029368855507</v>
      </c>
      <c r="AR143" s="43">
        <f t="shared" si="136"/>
        <v>-12.228312748708246</v>
      </c>
      <c r="AS143" t="str">
        <f t="shared" si="112"/>
        <v>-0.0000166666666666667</v>
      </c>
      <c r="AT143" t="str">
        <f t="shared" si="113"/>
        <v>3.79890808081363E-06i</v>
      </c>
      <c r="AU143">
        <f t="shared" si="137"/>
        <v>3.79890808081363E-6</v>
      </c>
      <c r="AV143">
        <f t="shared" si="138"/>
        <v>1.5707963267948966</v>
      </c>
      <c r="AW143" t="str">
        <f t="shared" si="114"/>
        <v>1+0.00379562182814859i</v>
      </c>
      <c r="AX143">
        <f t="shared" si="139"/>
        <v>1.000007203346587</v>
      </c>
      <c r="AY143">
        <f t="shared" si="140"/>
        <v>3.7956036007874708E-3</v>
      </c>
      <c r="AZ143" t="str">
        <f t="shared" si="115"/>
        <v>1+0.129051142157052i</v>
      </c>
      <c r="BA143">
        <f t="shared" si="141"/>
        <v>1.0082927140925098</v>
      </c>
      <c r="BB143">
        <f t="shared" si="142"/>
        <v>0.12834180247538501</v>
      </c>
      <c r="BC143" s="41" t="str">
        <f t="shared" si="143"/>
        <v>-0.549516304711981+4.38931132514438i</v>
      </c>
      <c r="BD143">
        <f t="shared" si="144"/>
        <v>12.915469296977557</v>
      </c>
      <c r="BE143" s="43">
        <f t="shared" si="145"/>
        <v>97.135971549911432</v>
      </c>
      <c r="BF143" s="41" t="str">
        <f t="shared" si="146"/>
        <v>11.6469404137637+82.9662270797814i</v>
      </c>
      <c r="BG143" s="20">
        <f t="shared" si="147"/>
        <v>38.462780921304955</v>
      </c>
      <c r="BH143" s="43">
        <f t="shared" si="148"/>
        <v>82.008941059634793</v>
      </c>
      <c r="BI143" s="41" t="str">
        <f t="shared" si="152"/>
        <v>27.7202966181531+311.069445188703i</v>
      </c>
      <c r="BJ143" s="20">
        <f t="shared" si="149"/>
        <v>49.891498665833069</v>
      </c>
      <c r="BK143" s="43">
        <f t="shared" si="153"/>
        <v>84.907658801203183</v>
      </c>
      <c r="BL143">
        <f t="shared" si="150"/>
        <v>38.462780921304955</v>
      </c>
      <c r="BM143" s="43">
        <f t="shared" si="151"/>
        <v>82.008941059634793</v>
      </c>
    </row>
    <row r="144" spans="14:65" x14ac:dyDescent="0.25">
      <c r="N144" s="9">
        <v>26</v>
      </c>
      <c r="O144" s="34">
        <f t="shared" si="154"/>
        <v>181.9700858609983</v>
      </c>
      <c r="P144" s="33" t="str">
        <f t="shared" si="103"/>
        <v>19.6196196196196</v>
      </c>
      <c r="Q144" s="4" t="str">
        <f t="shared" si="104"/>
        <v>1+0.276756364585551i</v>
      </c>
      <c r="R144" s="4">
        <f t="shared" si="117"/>
        <v>1.0375905191059769</v>
      </c>
      <c r="S144" s="4">
        <f t="shared" si="118"/>
        <v>0.26999835472932909</v>
      </c>
      <c r="T144" s="4" t="str">
        <f t="shared" si="105"/>
        <v>1+0.00429900265455339i</v>
      </c>
      <c r="U144" s="4">
        <f t="shared" si="119"/>
        <v>1.0000092406692169</v>
      </c>
      <c r="V144" s="4">
        <f t="shared" si="120"/>
        <v>4.2989761709503697E-3</v>
      </c>
      <c r="W144" t="str">
        <f t="shared" si="106"/>
        <v>1-0.00250108199649882i</v>
      </c>
      <c r="X144" s="4">
        <f t="shared" si="121"/>
        <v>1.0000031277006853</v>
      </c>
      <c r="Y144" s="4">
        <f t="shared" si="122"/>
        <v>-2.5010767814196548E-3</v>
      </c>
      <c r="Z144" t="str">
        <f t="shared" si="107"/>
        <v>0.999999966886888+0.00167419366296247i</v>
      </c>
      <c r="AA144" s="4">
        <f t="shared" si="123"/>
        <v>1.0000013683481628</v>
      </c>
      <c r="AB144" s="4">
        <f t="shared" si="124"/>
        <v>1.6741921541899415E-3</v>
      </c>
      <c r="AC144" s="47" t="str">
        <f t="shared" si="125"/>
        <v>18.2246096954218-5.04134960970208i</v>
      </c>
      <c r="AD144" s="20">
        <f t="shared" si="126"/>
        <v>25.533387311865056</v>
      </c>
      <c r="AE144" s="43">
        <f t="shared" si="127"/>
        <v>-15.462678298986404</v>
      </c>
      <c r="AF144" t="str">
        <f t="shared" si="108"/>
        <v>72.2956529813786</v>
      </c>
      <c r="AG144" t="str">
        <f t="shared" si="109"/>
        <v>1+0.225697639364053i</v>
      </c>
      <c r="AH144">
        <f t="shared" si="128"/>
        <v>1.0251533662894083</v>
      </c>
      <c r="AI144">
        <f t="shared" si="129"/>
        <v>0.22197836624658698</v>
      </c>
      <c r="AJ144" t="str">
        <f t="shared" si="110"/>
        <v>1+0.00429900265455339i</v>
      </c>
      <c r="AK144">
        <f t="shared" si="130"/>
        <v>1.0000092406692169</v>
      </c>
      <c r="AL144">
        <f t="shared" si="131"/>
        <v>4.2989761709503697E-3</v>
      </c>
      <c r="AM144" t="str">
        <f t="shared" si="111"/>
        <v>1-0.000553522795425092i</v>
      </c>
      <c r="AN144">
        <f t="shared" si="132"/>
        <v>1.0000001531937308</v>
      </c>
      <c r="AO144">
        <f t="shared" si="133"/>
        <v>-5.535227388942833E-4</v>
      </c>
      <c r="AP144" s="41" t="str">
        <f t="shared" si="134"/>
        <v>68.8497720927041-15.2684491199321i</v>
      </c>
      <c r="AQ144">
        <f t="shared" si="135"/>
        <v>36.96654844454639</v>
      </c>
      <c r="AR144" s="43">
        <f t="shared" si="136"/>
        <v>-12.50382485511909</v>
      </c>
      <c r="AS144" t="str">
        <f t="shared" si="112"/>
        <v>-0.0000166666666666667</v>
      </c>
      <c r="AT144" t="str">
        <f t="shared" si="113"/>
        <v>3.88739601741531E-06i</v>
      </c>
      <c r="AU144">
        <f t="shared" si="137"/>
        <v>3.8873960174153101E-6</v>
      </c>
      <c r="AV144">
        <f t="shared" si="138"/>
        <v>1.5707963267948966</v>
      </c>
      <c r="AW144" t="str">
        <f t="shared" si="114"/>
        <v>1+0.00388403321809228i</v>
      </c>
      <c r="AX144">
        <f t="shared" si="139"/>
        <v>1.0000075428285726</v>
      </c>
      <c r="AY144">
        <f t="shared" si="140"/>
        <v>3.8840136871309138E-3</v>
      </c>
      <c r="AZ144" t="str">
        <f t="shared" si="115"/>
        <v>1+0.132057129415137i</v>
      </c>
      <c r="BA144">
        <f t="shared" si="141"/>
        <v>1.0086818554080201</v>
      </c>
      <c r="BB144">
        <f t="shared" si="142"/>
        <v>0.13129741113299923</v>
      </c>
      <c r="BC144" s="41" t="str">
        <f t="shared" si="143"/>
        <v>-0.549515931613081+4.28949446094994i</v>
      </c>
      <c r="BD144">
        <f t="shared" si="144"/>
        <v>12.718817940937196</v>
      </c>
      <c r="BE144" s="43">
        <f t="shared" si="145"/>
        <v>97.300249927071206</v>
      </c>
      <c r="BF144" s="41" t="str">
        <f t="shared" si="146"/>
        <v>11.6101278514647+80.9446642688491i</v>
      </c>
      <c r="BG144" s="20">
        <f t="shared" si="147"/>
        <v>38.252205252802263</v>
      </c>
      <c r="BH144" s="43">
        <f t="shared" si="148"/>
        <v>81.837571628084817</v>
      </c>
      <c r="BI144" s="41" t="str">
        <f t="shared" si="152"/>
        <v>27.6598812743741+303.720972071746i</v>
      </c>
      <c r="BJ144" s="20">
        <f t="shared" si="149"/>
        <v>49.685366385483576</v>
      </c>
      <c r="BK144" s="43">
        <f t="shared" si="153"/>
        <v>84.796425071952115</v>
      </c>
      <c r="BL144">
        <f t="shared" si="150"/>
        <v>38.252205252802263</v>
      </c>
      <c r="BM144" s="43">
        <f t="shared" si="151"/>
        <v>81.837571628084817</v>
      </c>
    </row>
    <row r="145" spans="14:65" x14ac:dyDescent="0.25">
      <c r="N145" s="9">
        <v>27</v>
      </c>
      <c r="O145" s="34">
        <f t="shared" si="154"/>
        <v>186.20871366628685</v>
      </c>
      <c r="P145" s="33" t="str">
        <f t="shared" si="103"/>
        <v>19.6196196196196</v>
      </c>
      <c r="Q145" s="4" t="str">
        <f t="shared" si="104"/>
        <v>1+0.283202848449491i</v>
      </c>
      <c r="R145" s="4">
        <f t="shared" si="117"/>
        <v>1.039328558911909</v>
      </c>
      <c r="S145" s="4">
        <f t="shared" si="118"/>
        <v>0.2759762269921549</v>
      </c>
      <c r="T145" s="4" t="str">
        <f t="shared" si="105"/>
        <v>1+0.00439913929020084i</v>
      </c>
      <c r="U145" s="4">
        <f t="shared" si="119"/>
        <v>1.0000096761664332</v>
      </c>
      <c r="V145" s="4">
        <f t="shared" si="120"/>
        <v>4.3991109125237609E-3</v>
      </c>
      <c r="W145" t="str">
        <f t="shared" si="106"/>
        <v>1-0.00255933968013679i</v>
      </c>
      <c r="X145" s="4">
        <f t="shared" si="121"/>
        <v>1.0000032751044359</v>
      </c>
      <c r="Y145" s="4">
        <f t="shared" si="122"/>
        <v>-2.5593340920797747E-3</v>
      </c>
      <c r="Z145" t="str">
        <f t="shared" si="107"/>
        <v>0.999999965326315+0.00171319064303034i</v>
      </c>
      <c r="AA145" s="4">
        <f t="shared" si="123"/>
        <v>1.0000014328363789</v>
      </c>
      <c r="AB145" s="4">
        <f t="shared" si="124"/>
        <v>1.7131890263515736E-3</v>
      </c>
      <c r="AC145" s="47" t="str">
        <f t="shared" si="125"/>
        <v>18.1637463713385-5.14154107790795i</v>
      </c>
      <c r="AD145" s="20">
        <f t="shared" si="126"/>
        <v>25.518854488115998</v>
      </c>
      <c r="AE145" s="43">
        <f t="shared" si="127"/>
        <v>-15.805020106255492</v>
      </c>
      <c r="AF145" t="str">
        <f t="shared" si="108"/>
        <v>72.2956529813786</v>
      </c>
      <c r="AG145" t="str">
        <f t="shared" si="109"/>
        <v>1+0.230954812735544i</v>
      </c>
      <c r="AH145">
        <f t="shared" si="128"/>
        <v>1.026323596886338</v>
      </c>
      <c r="AI145">
        <f t="shared" si="129"/>
        <v>0.22697503949636999</v>
      </c>
      <c r="AJ145" t="str">
        <f t="shared" si="110"/>
        <v>1+0.00439913929020084i</v>
      </c>
      <c r="AK145">
        <f t="shared" si="130"/>
        <v>1.0000096761664332</v>
      </c>
      <c r="AL145">
        <f t="shared" si="131"/>
        <v>4.3991109125237609E-3</v>
      </c>
      <c r="AM145" t="str">
        <f t="shared" si="111"/>
        <v>1-0.000566415997626149i</v>
      </c>
      <c r="AN145">
        <f t="shared" si="132"/>
        <v>1.0000001604135285</v>
      </c>
      <c r="AO145">
        <f t="shared" si="133"/>
        <v>-5.6641593705229667E-4</v>
      </c>
      <c r="AP145" s="41" t="str">
        <f t="shared" si="134"/>
        <v>68.6955964763916-15.5884893868279i</v>
      </c>
      <c r="AQ145">
        <f t="shared" si="135"/>
        <v>36.956642848946778</v>
      </c>
      <c r="AR145" s="43">
        <f t="shared" si="136"/>
        <v>-12.785114571701664</v>
      </c>
      <c r="AS145" t="str">
        <f t="shared" si="112"/>
        <v>-0.0000166666666666667</v>
      </c>
      <c r="AT145" t="str">
        <f t="shared" si="113"/>
        <v>0.0000039779451028412i</v>
      </c>
      <c r="AU145">
        <f t="shared" si="137"/>
        <v>3.9779451028412003E-6</v>
      </c>
      <c r="AV145">
        <f t="shared" si="138"/>
        <v>1.5707963267948966</v>
      </c>
      <c r="AW145" t="str">
        <f t="shared" si="114"/>
        <v>1+0.0039745039738595i</v>
      </c>
      <c r="AX145">
        <f t="shared" si="139"/>
        <v>1.0000078983097274</v>
      </c>
      <c r="AY145">
        <f t="shared" si="140"/>
        <v>3.9744830460662732E-3</v>
      </c>
      <c r="AZ145" t="str">
        <f t="shared" si="115"/>
        <v>1+0.135133135111223i</v>
      </c>
      <c r="BA145">
        <f t="shared" si="141"/>
        <v>1.0090891755464371</v>
      </c>
      <c r="BB145">
        <f t="shared" si="142"/>
        <v>0.13431947779696959</v>
      </c>
      <c r="BC145" s="41" t="str">
        <f t="shared" si="143"/>
        <v>-0.549515540931123+4.19195194336024i</v>
      </c>
      <c r="BD145">
        <f t="shared" si="144"/>
        <v>12.522321631575927</v>
      </c>
      <c r="BE145" s="43">
        <f t="shared" si="145"/>
        <v>97.468218079881652</v>
      </c>
      <c r="BF145" s="41" t="str">
        <f t="shared" si="146"/>
        <v>11.5718322008209+78.9669086266811i</v>
      </c>
      <c r="BG145" s="20">
        <f t="shared" si="147"/>
        <v>38.041176119691926</v>
      </c>
      <c r="BH145" s="43">
        <f t="shared" si="148"/>
        <v>81.663197973626183</v>
      </c>
      <c r="BI145" s="41" t="str">
        <f t="shared" si="152"/>
        <v>27.5969005218532+296.534756327202i</v>
      </c>
      <c r="BJ145" s="20">
        <f t="shared" si="149"/>
        <v>49.478964480522691</v>
      </c>
      <c r="BK145" s="43">
        <f t="shared" si="153"/>
        <v>84.683103508179983</v>
      </c>
      <c r="BL145">
        <f t="shared" si="150"/>
        <v>38.041176119691926</v>
      </c>
      <c r="BM145" s="43">
        <f t="shared" si="151"/>
        <v>81.663197973626183</v>
      </c>
    </row>
    <row r="146" spans="14:65" x14ac:dyDescent="0.25">
      <c r="N146" s="9">
        <v>28</v>
      </c>
      <c r="O146" s="34">
        <f t="shared" si="154"/>
        <v>190.54607179632498</v>
      </c>
      <c r="P146" s="33" t="str">
        <f t="shared" si="103"/>
        <v>19.6196196196196</v>
      </c>
      <c r="Q146" s="4" t="str">
        <f t="shared" si="104"/>
        <v>1+0.289799490212315i</v>
      </c>
      <c r="R146" s="4">
        <f t="shared" si="117"/>
        <v>1.0411454002814966</v>
      </c>
      <c r="S146" s="4">
        <f t="shared" si="118"/>
        <v>0.28207245699605393</v>
      </c>
      <c r="T146" s="4" t="str">
        <f t="shared" si="105"/>
        <v>1+0.00450160840772948i</v>
      </c>
      <c r="U146" s="4">
        <f t="shared" si="119"/>
        <v>1.0000101321877977</v>
      </c>
      <c r="V146" s="4">
        <f t="shared" si="120"/>
        <v>4.5015780005172919E-3</v>
      </c>
      <c r="W146" t="str">
        <f t="shared" si="106"/>
        <v>1-0.00261895435955007i</v>
      </c>
      <c r="X146" s="4">
        <f t="shared" si="121"/>
        <v>1.0000034294550881</v>
      </c>
      <c r="Y146" s="4">
        <f t="shared" si="122"/>
        <v>-2.6189483718402082E-3</v>
      </c>
      <c r="Z146" t="str">
        <f t="shared" si="107"/>
        <v>0.999999963692195+0.00175309597945392i</v>
      </c>
      <c r="AA146" s="4">
        <f t="shared" si="123"/>
        <v>1.0000015003638267</v>
      </c>
      <c r="AB146" s="4">
        <f t="shared" si="124"/>
        <v>1.7530942471515511E-3</v>
      </c>
      <c r="AC146" s="47" t="str">
        <f t="shared" si="125"/>
        <v>18.1004491142325-5.24295946035984i</v>
      </c>
      <c r="AD146" s="20">
        <f t="shared" si="126"/>
        <v>25.503688729560121</v>
      </c>
      <c r="AE146" s="43">
        <f t="shared" si="127"/>
        <v>-16.154139472100319</v>
      </c>
      <c r="AF146" t="str">
        <f t="shared" si="108"/>
        <v>72.2956529813786</v>
      </c>
      <c r="AG146" t="str">
        <f t="shared" si="109"/>
        <v>1+0.236334441405798i</v>
      </c>
      <c r="AH146">
        <f t="shared" si="128"/>
        <v>1.027547550332631</v>
      </c>
      <c r="AI146">
        <f t="shared" si="129"/>
        <v>0.23207618769174193</v>
      </c>
      <c r="AJ146" t="str">
        <f t="shared" si="110"/>
        <v>1+0.00450160840772948i</v>
      </c>
      <c r="AK146">
        <f t="shared" si="130"/>
        <v>1.0000101321877977</v>
      </c>
      <c r="AL146">
        <f t="shared" si="131"/>
        <v>4.5015780005172919E-3</v>
      </c>
      <c r="AM146" t="str">
        <f t="shared" si="111"/>
        <v>1-0.000579609521086556i</v>
      </c>
      <c r="AN146">
        <f t="shared" si="132"/>
        <v>1.0000001679735844</v>
      </c>
      <c r="AO146">
        <f t="shared" si="133"/>
        <v>-5.7960945618050442E-4</v>
      </c>
      <c r="AP146" s="41" t="str">
        <f t="shared" si="134"/>
        <v>68.5349062284102-15.913615309788i</v>
      </c>
      <c r="AQ146">
        <f t="shared" si="135"/>
        <v>36.946294594341332</v>
      </c>
      <c r="AR146" s="43">
        <f t="shared" si="136"/>
        <v>-13.072273835249206</v>
      </c>
      <c r="AS146" t="str">
        <f t="shared" si="112"/>
        <v>-0.0000166666666666667</v>
      </c>
      <c r="AT146" t="str">
        <f t="shared" si="113"/>
        <v>4.07060334741495E-06i</v>
      </c>
      <c r="AU146">
        <f t="shared" si="137"/>
        <v>4.0706033474149496E-6</v>
      </c>
      <c r="AV146">
        <f t="shared" si="138"/>
        <v>1.5707963267948966</v>
      </c>
      <c r="AW146" t="str">
        <f t="shared" si="114"/>
        <v>1+0.00406708206424247i</v>
      </c>
      <c r="AX146">
        <f t="shared" si="139"/>
        <v>1.0000082705440578</v>
      </c>
      <c r="AY146">
        <f t="shared" si="140"/>
        <v>4.067059639718029E-3</v>
      </c>
      <c r="AZ146" t="str">
        <f t="shared" si="115"/>
        <v>1+0.138280790184244i</v>
      </c>
      <c r="BA146">
        <f t="shared" si="141"/>
        <v>1.0095155159451383</v>
      </c>
      <c r="BB146">
        <f t="shared" si="142"/>
        <v>0.13740938388873725</v>
      </c>
      <c r="BC146" s="41" t="str">
        <f t="shared" si="143"/>
        <v>-0.549515131837488+4.09663205403156i</v>
      </c>
      <c r="BD146">
        <f t="shared" si="144"/>
        <v>12.325987413673706</v>
      </c>
      <c r="BE146" s="43">
        <f t="shared" si="145"/>
        <v>97.639952409933755</v>
      </c>
      <c r="BF146" s="41" t="str">
        <f t="shared" si="146"/>
        <v>11.5320051019729+77.0319655928103i</v>
      </c>
      <c r="BG146" s="20">
        <f t="shared" si="147"/>
        <v>37.829676143233826</v>
      </c>
      <c r="BH146" s="43">
        <f t="shared" si="148"/>
        <v>81.485812937833458</v>
      </c>
      <c r="BI146" s="41" t="str">
        <f t="shared" si="152"/>
        <v>27.5312585420302+289.507066090322i</v>
      </c>
      <c r="BJ146" s="20">
        <f t="shared" si="149"/>
        <v>49.272282008015047</v>
      </c>
      <c r="BK146" s="43">
        <f t="shared" si="153"/>
        <v>84.567678574684564</v>
      </c>
      <c r="BL146">
        <f t="shared" si="150"/>
        <v>37.829676143233826</v>
      </c>
      <c r="BM146" s="43">
        <f t="shared" si="151"/>
        <v>81.485812937833458</v>
      </c>
    </row>
    <row r="147" spans="14:65" x14ac:dyDescent="0.25">
      <c r="N147" s="9">
        <v>29</v>
      </c>
      <c r="O147" s="34">
        <f t="shared" si="154"/>
        <v>194.98445997580458</v>
      </c>
      <c r="P147" s="33" t="str">
        <f t="shared" ref="P147:P210" si="155">COMPLEX(Adc,0)</f>
        <v>19.6196196196196</v>
      </c>
      <c r="Q147" s="4" t="str">
        <f t="shared" ref="Q147:Q210" si="156">IMSUM(COMPLEX(1,0),IMDIV(COMPLEX(0,2*PI()*O147),COMPLEX(wp_lf,0)))</f>
        <v>1+0.296549787500795i</v>
      </c>
      <c r="R147" s="4">
        <f t="shared" si="117"/>
        <v>1.0430444748268248</v>
      </c>
      <c r="S147" s="4">
        <f t="shared" si="118"/>
        <v>0.28828846385530371</v>
      </c>
      <c r="T147" s="4" t="str">
        <f t="shared" ref="T147:T210" si="157">IMSUM(COMPLEX(1,0),IMDIV(COMPLEX(0,2*PI()*O147),COMPLEX(wz_esr,0)))</f>
        <v>1+0.00460646433762168i</v>
      </c>
      <c r="U147" s="4">
        <f t="shared" si="119"/>
        <v>1.0000106097005639</v>
      </c>
      <c r="V147" s="4">
        <f t="shared" si="120"/>
        <v>4.6064317557254712E-3</v>
      </c>
      <c r="W147" t="str">
        <f t="shared" ref="W147:W210" si="158">IMSUB(COMPLEX(1,0),IMDIV(COMPLEX(0,2*PI()*O147),COMPLEX(wz_rhp,0)))</f>
        <v>1-0.0026799576432307i</v>
      </c>
      <c r="X147" s="4">
        <f t="shared" si="121"/>
        <v>1.0000035910800369</v>
      </c>
      <c r="Y147" s="4">
        <f t="shared" si="122"/>
        <v>-2.6799512272852335E-3</v>
      </c>
      <c r="Z147" t="str">
        <f t="shared" ref="Z147:Z210" si="159">IMSUM(COMPLEX(1,0),IMDIV(COMPLEX(0,2*PI()*O147),COMPLEX(Q*(wsl/2),0)),IMDIV(IMPOWER(COMPLEX(0,2*PI()*O147),2),IMPOWER(COMPLEX(wsl/2,0),2)))</f>
        <v>0.99999996198106+0.00179393083057075i</v>
      </c>
      <c r="AA147" s="4">
        <f t="shared" si="123"/>
        <v>1.0000015710737389</v>
      </c>
      <c r="AB147" s="4">
        <f t="shared" si="124"/>
        <v>1.7939289743754783E-3</v>
      </c>
      <c r="AC147" s="47" t="str">
        <f t="shared" si="125"/>
        <v>18.0346401640918-5.3455680644066i</v>
      </c>
      <c r="AD147" s="20">
        <f t="shared" si="126"/>
        <v>25.48786482446436</v>
      </c>
      <c r="AE147" s="43">
        <f t="shared" si="127"/>
        <v>-16.510117616602876</v>
      </c>
      <c r="AF147" t="str">
        <f t="shared" ref="AF147:AF210" si="160">COMPLEX($B$72,0)</f>
        <v>72.2956529813786</v>
      </c>
      <c r="AG147" t="str">
        <f t="shared" ref="AG147:AG210" si="161">IMSUM(COMPLEX(1,0),IMDIV(COMPLEX(0,2*PI()*O147),COMPLEX(wp_lf_DCM,0)))</f>
        <v>1+0.241839377725138i</v>
      </c>
      <c r="AH147">
        <f t="shared" si="128"/>
        <v>1.0288276262904694</v>
      </c>
      <c r="AI147">
        <f t="shared" si="129"/>
        <v>0.23728345313227839</v>
      </c>
      <c r="AJ147" t="str">
        <f t="shared" ref="AJ147:AJ210" si="162">IMSUM(COMPLEX(1,0),IMDIV(COMPLEX(0,2*PI()*O147),COMPLEX(wz1_dcm,0)))</f>
        <v>1+0.00460646433762168i</v>
      </c>
      <c r="AK147">
        <f t="shared" si="130"/>
        <v>1.0000106097005639</v>
      </c>
      <c r="AL147">
        <f t="shared" si="131"/>
        <v>4.6064317557254712E-3</v>
      </c>
      <c r="AM147" t="str">
        <f t="shared" ref="AM147:AM210" si="163">IMSUB(COMPLEX(1,0),IMDIV(COMPLEX(0,2*PI()*O147),COMPLEX(wz2_dcm,0)))</f>
        <v>1-0.000593110361187073i</v>
      </c>
      <c r="AN147">
        <f t="shared" si="132"/>
        <v>1.0000001758899348</v>
      </c>
      <c r="AO147">
        <f t="shared" si="133"/>
        <v>-5.9311029163898639E-4</v>
      </c>
      <c r="AP147" s="41" t="str">
        <f t="shared" si="134"/>
        <v>68.3674609467566-16.2437961656395i</v>
      </c>
      <c r="AQ147">
        <f t="shared" si="135"/>
        <v>36.935485025278822</v>
      </c>
      <c r="AR147" s="43">
        <f t="shared" si="136"/>
        <v>-13.365394031048377</v>
      </c>
      <c r="AS147" t="str">
        <f t="shared" ref="AS147:AS210" si="164">COMPLEX(Adc_ea,0)</f>
        <v>-0.0000166666666666667</v>
      </c>
      <c r="AT147" t="str">
        <f t="shared" ref="AT147:AT210" si="165">COMPLEX(0,2*PI()*O147*wp0_ea)</f>
        <v>4.16541987976429E-06i</v>
      </c>
      <c r="AU147">
        <f t="shared" si="137"/>
        <v>4.1654198797642903E-6</v>
      </c>
      <c r="AV147">
        <f t="shared" si="138"/>
        <v>1.5707963267948966</v>
      </c>
      <c r="AW147" t="str">
        <f t="shared" ref="AW147:AW210" si="166">IMSUM(COMPLEX(1,0),IMDIV(COMPLEX(0,2*PI()*O147),COMPLEX(wp1_ea,0)))</f>
        <v>1+0.00416181657537003i</v>
      </c>
      <c r="AX147">
        <f t="shared" si="139"/>
        <v>1.0000086603211029</v>
      </c>
      <c r="AY147">
        <f t="shared" si="140"/>
        <v>4.1617925470704186E-3</v>
      </c>
      <c r="AZ147" t="str">
        <f t="shared" ref="AZ147:AZ210" si="167">IMSUM(COMPLEX(1,0),IMDIV(COMPLEX(0,2*PI()*O147),COMPLEX(wz_ea,0)))</f>
        <v>1+0.141501763562581i</v>
      </c>
      <c r="BA147">
        <f t="shared" si="141"/>
        <v>1.0099617562518497</v>
      </c>
      <c r="BB147">
        <f t="shared" si="142"/>
        <v>0.14056853158558533</v>
      </c>
      <c r="BC147" s="41" t="str">
        <f t="shared" si="143"/>
        <v>-0.549514703464508+4.00348425308641i</v>
      </c>
      <c r="BD147">
        <f t="shared" si="144"/>
        <v>12.129822639422835</v>
      </c>
      <c r="BE147" s="43">
        <f t="shared" si="145"/>
        <v>97.815530444049301</v>
      </c>
      <c r="BF147" s="41" t="str">
        <f t="shared" si="146"/>
        <v>11.4905976277934+75.138866156783i</v>
      </c>
      <c r="BG147" s="20">
        <f t="shared" si="147"/>
        <v>37.617687463887194</v>
      </c>
      <c r="BH147" s="43">
        <f t="shared" si="148"/>
        <v>81.305412827446446</v>
      </c>
      <c r="BI147" s="41" t="str">
        <f t="shared" si="152"/>
        <v>27.4628571307048+282.634258156939i</v>
      </c>
      <c r="BJ147" s="20">
        <f t="shared" si="149"/>
        <v>49.065307664701635</v>
      </c>
      <c r="BK147" s="43">
        <f t="shared" si="153"/>
        <v>84.450136413000948</v>
      </c>
      <c r="BL147">
        <f t="shared" si="150"/>
        <v>37.617687463887194</v>
      </c>
      <c r="BM147" s="43">
        <f t="shared" si="151"/>
        <v>81.305412827446446</v>
      </c>
    </row>
    <row r="148" spans="14:65" x14ac:dyDescent="0.25">
      <c r="N148" s="9">
        <v>30</v>
      </c>
      <c r="O148" s="34">
        <f t="shared" si="154"/>
        <v>199.52623149688802</v>
      </c>
      <c r="P148" s="33" t="str">
        <f t="shared" si="155"/>
        <v>19.6196196196196</v>
      </c>
      <c r="Q148" s="4" t="str">
        <f t="shared" si="156"/>
        <v>1+0.303457319411911i</v>
      </c>
      <c r="R148" s="4">
        <f t="shared" ref="R148:R211" si="168">IMABS(Q148)</f>
        <v>1.0450293511211359</v>
      </c>
      <c r="S148" s="4">
        <f t="shared" ref="S148:S211" si="169">IMARGUMENT(Q148)</f>
        <v>0.2946256212171901</v>
      </c>
      <c r="T148" s="4" t="str">
        <f t="shared" si="157"/>
        <v>1+0.00471376267587948i</v>
      </c>
      <c r="U148" s="4">
        <f t="shared" ref="U148:U211" si="170">IMABS(T148)</f>
        <v>1.0000111097175692</v>
      </c>
      <c r="V148" s="4">
        <f t="shared" ref="V148:V211" si="171">IMARGUMENT(T148)</f>
        <v>4.7137277637696387E-3</v>
      </c>
      <c r="W148" t="str">
        <f t="shared" si="158"/>
        <v>1-0.00274238187592723i</v>
      </c>
      <c r="X148" s="4">
        <f t="shared" ref="X148:X211" si="172">IMABS(W148)</f>
        <v>1.0000037603221068</v>
      </c>
      <c r="Y148" s="4">
        <f t="shared" ref="Y148:Y211" si="173">IMARGUMENT(W148)</f>
        <v>-2.7423750011191972E-3</v>
      </c>
      <c r="Z148" t="str">
        <f t="shared" si="159"/>
        <v>0.999999960189283+0.00183571684755945i</v>
      </c>
      <c r="AA148" s="4">
        <f t="shared" ref="AA148:AA211" si="174">IMABS(Z148)</f>
        <v>1.0000016451161029</v>
      </c>
      <c r="AB148" s="4">
        <f t="shared" ref="AB148:AB211" si="175">IMARGUMENT(Z148)</f>
        <v>1.8357148586105579E-3</v>
      </c>
      <c r="AC148" s="47" t="str">
        <f t="shared" ref="AC148:AC211" si="176">(IMDIV(IMPRODUCT(P148,T148,W148),IMPRODUCT(Q148,Z148)))</f>
        <v>17.9662410056096-5.4493261362018i</v>
      </c>
      <c r="AD148" s="20">
        <f t="shared" ref="AD148:AD211" si="177">20*LOG(IMABS(AC148))</f>
        <v>25.471356764439776</v>
      </c>
      <c r="AE148" s="43">
        <f t="shared" ref="AE148:AE211" si="178">(180/PI())*IMARGUMENT(AC148)</f>
        <v>-16.873033152721558</v>
      </c>
      <c r="AF148" t="str">
        <f t="shared" si="160"/>
        <v>72.2956529813786</v>
      </c>
      <c r="AG148" t="str">
        <f t="shared" si="161"/>
        <v>1+0.247472540483673i</v>
      </c>
      <c r="AH148">
        <f t="shared" ref="AH148:AH211" si="179">IMABS(AG148)</f>
        <v>1.0301663255481821</v>
      </c>
      <c r="AI148">
        <f t="shared" ref="AI148:AI211" si="180">IMARGUMENT(AG148)</f>
        <v>0.24259846669779525</v>
      </c>
      <c r="AJ148" t="str">
        <f t="shared" si="162"/>
        <v>1+0.00471376267587948i</v>
      </c>
      <c r="AK148">
        <f t="shared" ref="AK148:AK211" si="181">IMABS(AJ148)</f>
        <v>1.0000111097175692</v>
      </c>
      <c r="AL148">
        <f t="shared" ref="AL148:AL211" si="182">IMARGUMENT(AJ148)</f>
        <v>4.7137277637696387E-3</v>
      </c>
      <c r="AM148" t="str">
        <f t="shared" si="163"/>
        <v>1-0.00060692567625184i</v>
      </c>
      <c r="AN148">
        <f t="shared" ref="AN148:AN211" si="183">IMABS(AM148)</f>
        <v>1.0000001841793713</v>
      </c>
      <c r="AO148">
        <f t="shared" ref="AO148:AO211" si="184">IMARGUMENT(AM148)</f>
        <v>-6.0692560172972336E-4</v>
      </c>
      <c r="AP148" s="41" t="str">
        <f t="shared" ref="AP148:AP211" si="185">(IMDIV(IMPRODUCT(AF148,AJ148,AM148),IMPRODUCT(AG148)))</f>
        <v>68.1930145224538-16.5789920845355i</v>
      </c>
      <c r="AQ148">
        <f t="shared" ref="AQ148:AQ211" si="186">20*LOG(IMABS(AP148))</f>
        <v>36.924194802340459</v>
      </c>
      <c r="AR148" s="43">
        <f t="shared" ref="AR148:AR211" si="187">(180/PI())*IMARGUMENT(AP148)</f>
        <v>-13.664565826948646</v>
      </c>
      <c r="AS148" t="str">
        <f t="shared" si="164"/>
        <v>-0.0000166666666666667</v>
      </c>
      <c r="AT148" t="str">
        <f t="shared" si="165"/>
        <v>4.26244497286974E-06i</v>
      </c>
      <c r="AU148">
        <f t="shared" ref="AU148:AU211" si="188">IMABS(AT148)</f>
        <v>4.2624449728697403E-6</v>
      </c>
      <c r="AV148">
        <f t="shared" ref="AV148:AV211" si="189">IMARGUMENT(AT148)</f>
        <v>1.5707963267948966</v>
      </c>
      <c r="AW148" t="str">
        <f t="shared" si="166"/>
        <v>1+0.00425875773673405i</v>
      </c>
      <c r="AX148">
        <f t="shared" ref="AX148:AX211" si="190">IMABS(AW148)</f>
        <v>1.0000090684676115</v>
      </c>
      <c r="AY148">
        <f t="shared" ref="AY148:AY211" si="191">IMARGUMENT(AW148)</f>
        <v>4.2587319899597548E-3</v>
      </c>
      <c r="AZ148" t="str">
        <f t="shared" si="167"/>
        <v>1+0.144797763048957i</v>
      </c>
      <c r="BA148">
        <f t="shared" ref="BA148:BA211" si="192">IMABS(AZ148)</f>
        <v>1.010428815990509</v>
      </c>
      <c r="BB148">
        <f t="shared" ref="BB148:BB211" si="193">IMARGUMENT(AZ148)</f>
        <v>0.14379834354536711</v>
      </c>
      <c r="BC148" s="41" t="str">
        <f t="shared" ref="BC148:BC211" si="194">IMPRODUCT(AS148,IMDIV(AZ148,IMPRODUCT(AT148,AW148)))</f>
        <v>-0.549514254903651+3.91245915231654i</v>
      </c>
      <c r="BD148">
        <f t="shared" ref="BD148:BD211" si="195">20*LOG(IMABS(BC148))</f>
        <v>11.933834980645466</v>
      </c>
      <c r="BE148" s="43">
        <f t="shared" ref="BE148:BE211" si="196">(180/PI())*IMARGUMENT(BC148)</f>
        <v>97.995030817019753</v>
      </c>
      <c r="BF148" s="41" t="str">
        <f t="shared" ref="BF148:BF211" si="197">IMPRODUCT(AC148,BC148)</f>
        <v>11.4475603759235+73.2866664465839i</v>
      </c>
      <c r="BG148" s="20">
        <f t="shared" ref="BG148:BG211" si="198">20*LOG(IMABS(BF148))</f>
        <v>37.40519174508524</v>
      </c>
      <c r="BH148" s="43">
        <f t="shared" ref="BH148:BH211" si="199">(180/PI())*IMARGUMENT(BF148)</f>
        <v>81.121997664298178</v>
      </c>
      <c r="BI148" s="41" t="str">
        <f t="shared" si="152"/>
        <v>27.3915957523843+275.912776274816i</v>
      </c>
      <c r="BJ148" s="20">
        <f t="shared" ref="BJ148:BJ211" si="200">20*LOG(IMABS(BI148))</f>
        <v>48.858029782985923</v>
      </c>
      <c r="BK148" s="43">
        <f t="shared" si="153"/>
        <v>84.330464990071121</v>
      </c>
      <c r="BL148">
        <f t="shared" ref="BL148:BL211" si="201">IF($B$31=0,BJ148,BG148)</f>
        <v>37.40519174508524</v>
      </c>
      <c r="BM148" s="43">
        <f t="shared" ref="BM148:BM211" si="202">IF($B$31=0,BK148,BH148)</f>
        <v>81.121997664298178</v>
      </c>
    </row>
    <row r="149" spans="14:65" x14ac:dyDescent="0.25">
      <c r="N149" s="9">
        <v>31</v>
      </c>
      <c r="O149" s="34">
        <f t="shared" si="154"/>
        <v>204.17379446695315</v>
      </c>
      <c r="P149" s="33" t="str">
        <f t="shared" si="155"/>
        <v>19.6196196196196</v>
      </c>
      <c r="Q149" s="4" t="str">
        <f t="shared" si="156"/>
        <v>1+0.31052574841051i</v>
      </c>
      <c r="R149" s="4">
        <f t="shared" si="168"/>
        <v>1.0471037390946072</v>
      </c>
      <c r="S149" s="4">
        <f t="shared" si="169"/>
        <v>0.30108525238607731</v>
      </c>
      <c r="T149" s="4" t="str">
        <f t="shared" si="157"/>
        <v>1+0.00482356031350203i</v>
      </c>
      <c r="U149" s="4">
        <f t="shared" si="170"/>
        <v>1.0000116332993823</v>
      </c>
      <c r="V149" s="4">
        <f t="shared" si="171"/>
        <v>4.8235229045258529E-3</v>
      </c>
      <c r="W149" t="str">
        <f t="shared" si="158"/>
        <v>1-0.00280626015579407i</v>
      </c>
      <c r="X149" s="4">
        <f t="shared" si="172"/>
        <v>1.0000039375402789</v>
      </c>
      <c r="Y149" s="4">
        <f t="shared" si="173"/>
        <v>-2.8062527893061096E-3</v>
      </c>
      <c r="Z149" t="str">
        <f t="shared" si="159"/>
        <v>0.999999958313062+0.00187847618591929i</v>
      </c>
      <c r="AA149" s="4">
        <f t="shared" si="174"/>
        <v>1.0000017226479696</v>
      </c>
      <c r="AB149" s="4">
        <f t="shared" si="175"/>
        <v>1.8784740547223527E-3</v>
      </c>
      <c r="AC149" s="47" t="str">
        <f t="shared" si="176"/>
        <v>17.8951725308206-5.55418867945492i</v>
      </c>
      <c r="AD149" s="20">
        <f t="shared" si="177"/>
        <v>25.4541377375755</v>
      </c>
      <c r="AE149" s="43">
        <f t="shared" si="178"/>
        <v>-17.242961806873886</v>
      </c>
      <c r="AF149" t="str">
        <f t="shared" si="160"/>
        <v>72.2956529813786</v>
      </c>
      <c r="AG149" t="str">
        <f t="shared" si="161"/>
        <v>1+0.253236916458857i</v>
      </c>
      <c r="AH149">
        <f t="shared" si="179"/>
        <v>1.0315662537411692</v>
      </c>
      <c r="AI149">
        <f t="shared" si="180"/>
        <v>0.24802284479231015</v>
      </c>
      <c r="AJ149" t="str">
        <f t="shared" si="162"/>
        <v>1+0.00482356031350203i</v>
      </c>
      <c r="AK149">
        <f t="shared" si="181"/>
        <v>1.0000116332993823</v>
      </c>
      <c r="AL149">
        <f t="shared" si="182"/>
        <v>4.8235229045258529E-3</v>
      </c>
      <c r="AM149" t="str">
        <f t="shared" si="163"/>
        <v>1-0.000621062791343763i</v>
      </c>
      <c r="AN149">
        <f t="shared" si="183"/>
        <v>1.0000001928594768</v>
      </c>
      <c r="AO149">
        <f t="shared" si="184"/>
        <v>-6.2106271149187716E-4</v>
      </c>
      <c r="AP149" s="41" t="str">
        <f t="shared" si="185"/>
        <v>68.011315306098-16.9191534699103i</v>
      </c>
      <c r="AQ149">
        <f t="shared" si="186"/>
        <v>36.912403886329997</v>
      </c>
      <c r="AR149" s="43">
        <f t="shared" si="187"/>
        <v>-13.96987899679509</v>
      </c>
      <c r="AS149" t="str">
        <f t="shared" si="164"/>
        <v>-0.0000166666666666667</v>
      </c>
      <c r="AT149" t="str">
        <f t="shared" si="165"/>
        <v>4.36173007071994E-06i</v>
      </c>
      <c r="AU149">
        <f t="shared" si="188"/>
        <v>4.36173007071994E-6</v>
      </c>
      <c r="AV149">
        <f t="shared" si="189"/>
        <v>1.5707963267948966</v>
      </c>
      <c r="AW149" t="str">
        <f t="shared" si="166"/>
        <v>1+0.00435795694782138i</v>
      </c>
      <c r="AX149">
        <f t="shared" si="190"/>
        <v>1.000009495849294</v>
      </c>
      <c r="AY149">
        <f t="shared" si="191"/>
        <v>4.3579293596698234E-3</v>
      </c>
      <c r="AZ149" t="str">
        <f t="shared" si="167"/>
        <v>1+0.148170536225927i</v>
      </c>
      <c r="BA149">
        <f t="shared" si="192"/>
        <v>1.0109176562932705</v>
      </c>
      <c r="BB149">
        <f t="shared" si="193"/>
        <v>0.14710026257729983</v>
      </c>
      <c r="BC149" s="41" t="str">
        <f t="shared" si="194"/>
        <v>-0.549513785203558+3.82350848899662i</v>
      </c>
      <c r="BD149">
        <f t="shared" si="195"/>
        <v>11.738032441382609</v>
      </c>
      <c r="BE149" s="43">
        <f t="shared" si="196"/>
        <v>98.178533251220259</v>
      </c>
      <c r="BF149" s="41" t="str">
        <f t="shared" si="197"/>
        <v>11.4028435711029+71.4744473286337i</v>
      </c>
      <c r="BG149" s="20">
        <f t="shared" si="198"/>
        <v>37.192170178958108</v>
      </c>
      <c r="BH149" s="43">
        <f t="shared" si="199"/>
        <v>80.935571444346337</v>
      </c>
      <c r="BI149" s="41" t="str">
        <f t="shared" si="152"/>
        <v>27.3173716083121+269.339149486382i</v>
      </c>
      <c r="BJ149" s="20">
        <f t="shared" si="200"/>
        <v>48.650436327712612</v>
      </c>
      <c r="BK149" s="43">
        <f t="shared" si="153"/>
        <v>84.20865425442517</v>
      </c>
      <c r="BL149">
        <f t="shared" si="201"/>
        <v>37.192170178958108</v>
      </c>
      <c r="BM149" s="43">
        <f t="shared" si="202"/>
        <v>80.935571444346337</v>
      </c>
    </row>
    <row r="150" spans="14:65" x14ac:dyDescent="0.25">
      <c r="N150" s="9">
        <v>32</v>
      </c>
      <c r="O150" s="34">
        <f t="shared" si="154"/>
        <v>208.92961308540396</v>
      </c>
      <c r="P150" s="33" t="str">
        <f t="shared" si="155"/>
        <v>19.6196196196196</v>
      </c>
      <c r="Q150" s="4" t="str">
        <f t="shared" si="156"/>
        <v>1+0.317758822271213i</v>
      </c>
      <c r="R150" s="4">
        <f t="shared" si="168"/>
        <v>1.0492714944813799</v>
      </c>
      <c r="S150" s="4">
        <f t="shared" si="169"/>
        <v>0.30766862523560329</v>
      </c>
      <c r="T150" s="4" t="str">
        <f t="shared" si="157"/>
        <v>1+0.00493591546665021i</v>
      </c>
      <c r="U150" s="4">
        <f t="shared" si="170"/>
        <v>1.0000121815565519</v>
      </c>
      <c r="V150" s="4">
        <f t="shared" si="171"/>
        <v>4.935875382236418E-3</v>
      </c>
      <c r="W150" t="str">
        <f t="shared" si="158"/>
        <v>1-0.00287162635194079i</v>
      </c>
      <c r="X150" s="4">
        <f t="shared" si="172"/>
        <v>1.0000041231104526</v>
      </c>
      <c r="Y150" s="4">
        <f t="shared" si="173"/>
        <v>-2.8716184586084865E-3</v>
      </c>
      <c r="Z150" t="str">
        <f t="shared" si="159"/>
        <v>0.999999956348417+0.0019222315172175i</v>
      </c>
      <c r="AA150" s="4">
        <f t="shared" si="174"/>
        <v>1.0000018038337939</v>
      </c>
      <c r="AB150" s="4">
        <f t="shared" si="175"/>
        <v>1.9222292335990612E-3</v>
      </c>
      <c r="AC150" s="47" t="str">
        <f t="shared" si="176"/>
        <v>17.8213552188567-5.66010627596932i</v>
      </c>
      <c r="AD150" s="20">
        <f t="shared" si="177"/>
        <v>25.436180123318817</v>
      </c>
      <c r="AE150" s="43">
        <f t="shared" si="178"/>
        <v>-17.619976127379619</v>
      </c>
      <c r="AF150" t="str">
        <f t="shared" si="160"/>
        <v>72.2956529813786</v>
      </c>
      <c r="AG150" t="str">
        <f t="shared" si="161"/>
        <v>1+0.259135561999136i</v>
      </c>
      <c r="AH150">
        <f t="shared" si="179"/>
        <v>1.0330301251621892</v>
      </c>
      <c r="AI150">
        <f t="shared" si="180"/>
        <v>0.25355818609743241</v>
      </c>
      <c r="AJ150" t="str">
        <f t="shared" si="162"/>
        <v>1+0.00493591546665021i</v>
      </c>
      <c r="AK150">
        <f t="shared" si="181"/>
        <v>1.0000121815565519</v>
      </c>
      <c r="AL150">
        <f t="shared" si="182"/>
        <v>4.935875382236418E-3</v>
      </c>
      <c r="AM150" t="str">
        <f t="shared" si="163"/>
        <v>1-0.000635529202148401i</v>
      </c>
      <c r="AN150">
        <f t="shared" si="183"/>
        <v>1.0000002019486631</v>
      </c>
      <c r="AO150">
        <f t="shared" si="184"/>
        <v>-6.3552911658556468E-4</v>
      </c>
      <c r="AP150" s="41" t="str">
        <f t="shared" si="185"/>
        <v>67.8221063106684-17.2642204017159i</v>
      </c>
      <c r="AQ150">
        <f t="shared" si="186"/>
        <v>36.900091522983416</v>
      </c>
      <c r="AR150" s="43">
        <f t="shared" si="187"/>
        <v>-14.281422232908948</v>
      </c>
      <c r="AS150" t="str">
        <f t="shared" si="164"/>
        <v>-0.0000166666666666667</v>
      </c>
      <c r="AT150" t="str">
        <f t="shared" si="165"/>
        <v>4.46332781558795E-06i</v>
      </c>
      <c r="AU150">
        <f t="shared" si="188"/>
        <v>4.46332781558795E-6</v>
      </c>
      <c r="AV150">
        <f t="shared" si="189"/>
        <v>1.5707963267948966</v>
      </c>
      <c r="AW150" t="str">
        <f t="shared" si="166"/>
        <v>1+0.00445946680536687i</v>
      </c>
      <c r="AX150">
        <f t="shared" si="190"/>
        <v>1.0000099433726588</v>
      </c>
      <c r="AY150">
        <f t="shared" si="191"/>
        <v>4.4594372441457567E-3</v>
      </c>
      <c r="AZ150" t="str">
        <f t="shared" si="167"/>
        <v>1+0.151621871382473i</v>
      </c>
      <c r="BA150">
        <f t="shared" si="192"/>
        <v>1.0114292817006652</v>
      </c>
      <c r="BB150">
        <f t="shared" si="193"/>
        <v>0.15047575125496807</v>
      </c>
      <c r="BC150" s="41" t="str">
        <f t="shared" si="194"/>
        <v>-0.549513293368043+3.73658510029472i</v>
      </c>
      <c r="BD150">
        <f t="shared" si="195"/>
        <v>11.542423370854593</v>
      </c>
      <c r="BE150" s="43">
        <f t="shared" si="196"/>
        <v>98.366118532877053</v>
      </c>
      <c r="BF150" s="41" t="str">
        <f t="shared" si="197"/>
        <v>11.3563971782759+69.7013140183605i</v>
      </c>
      <c r="BG150" s="20">
        <f t="shared" si="198"/>
        <v>36.978603494173406</v>
      </c>
      <c r="BH150" s="43">
        <f t="shared" si="199"/>
        <v>80.746142405497423</v>
      </c>
      <c r="BI150" s="41" t="str">
        <f t="shared" si="152"/>
        <v>27.2400797193228+262.909990521427i</v>
      </c>
      <c r="BJ150" s="20">
        <f t="shared" si="200"/>
        <v>48.442514893838016</v>
      </c>
      <c r="BK150" s="43">
        <f t="shared" si="153"/>
        <v>84.084696299968115</v>
      </c>
      <c r="BL150">
        <f t="shared" si="201"/>
        <v>36.978603494173406</v>
      </c>
      <c r="BM150" s="43">
        <f t="shared" si="202"/>
        <v>80.746142405497423</v>
      </c>
    </row>
    <row r="151" spans="14:65" x14ac:dyDescent="0.25">
      <c r="N151" s="9">
        <v>33</v>
      </c>
      <c r="O151" s="34">
        <f t="shared" si="154"/>
        <v>213.79620895022339</v>
      </c>
      <c r="P151" s="33" t="str">
        <f t="shared" si="155"/>
        <v>19.6196196196196</v>
      </c>
      <c r="Q151" s="4" t="str">
        <f t="shared" si="156"/>
        <v>1+0.325160376065518i</v>
      </c>
      <c r="R151" s="4">
        <f t="shared" si="168"/>
        <v>1.0515366233104146</v>
      </c>
      <c r="S151" s="4">
        <f t="shared" si="169"/>
        <v>0.31437694691174667</v>
      </c>
      <c r="T151" s="4" t="str">
        <f t="shared" si="157"/>
        <v>1+0.00505088770751334i</v>
      </c>
      <c r="U151" s="4">
        <f t="shared" si="170"/>
        <v>1.0000127556519636</v>
      </c>
      <c r="V151" s="4">
        <f t="shared" si="171"/>
        <v>5.0508447563197131E-3</v>
      </c>
      <c r="W151" t="str">
        <f t="shared" si="158"/>
        <v>1-0.00293851512238975i</v>
      </c>
      <c r="X151" s="4">
        <f t="shared" si="172"/>
        <v>1.0000043174262423</v>
      </c>
      <c r="Y151" s="4">
        <f t="shared" si="173"/>
        <v>-2.9385066645337761E-3</v>
      </c>
      <c r="Z151" t="str">
        <f t="shared" si="159"/>
        <v>0.999999954291181+0.00196700604110987i</v>
      </c>
      <c r="AA151" s="4">
        <f t="shared" si="174"/>
        <v>1.0000018888457811</v>
      </c>
      <c r="AB151" s="4">
        <f t="shared" si="175"/>
        <v>1.9670035941688774E-3</v>
      </c>
      <c r="AC151" s="47" t="str">
        <f t="shared" si="176"/>
        <v>17.7447093335342-5.76702490921795i</v>
      </c>
      <c r="AD151" s="20">
        <f t="shared" si="177"/>
        <v>25.417455489280179</v>
      </c>
      <c r="AE151" s="43">
        <f t="shared" si="178"/>
        <v>-18.004145180920279</v>
      </c>
      <c r="AF151" t="str">
        <f t="shared" si="160"/>
        <v>72.2956529813786</v>
      </c>
      <c r="AG151" t="str">
        <f t="shared" si="161"/>
        <v>1+0.26517160464445i</v>
      </c>
      <c r="AH151">
        <f t="shared" si="179"/>
        <v>1.034560766658833</v>
      </c>
      <c r="AI151">
        <f t="shared" si="180"/>
        <v>0.25920606812990526</v>
      </c>
      <c r="AJ151" t="str">
        <f t="shared" si="162"/>
        <v>1+0.00505088770751334i</v>
      </c>
      <c r="AK151">
        <f t="shared" si="181"/>
        <v>1.0000127556519636</v>
      </c>
      <c r="AL151">
        <f t="shared" si="182"/>
        <v>5.0508447563197131E-3</v>
      </c>
      <c r="AM151" t="str">
        <f t="shared" si="163"/>
        <v>1-0.000650332578948236i</v>
      </c>
      <c r="AN151">
        <f t="shared" si="183"/>
        <v>1.0000002114662092</v>
      </c>
      <c r="AO151">
        <f t="shared" si="184"/>
        <v>-6.5033248726600607E-4</v>
      </c>
      <c r="AP151" s="41" t="str">
        <f t="shared" si="185"/>
        <v>67.6251254534394-17.6141220242706i</v>
      </c>
      <c r="AQ151">
        <f t="shared" si="186"/>
        <v>36.887236228304587</v>
      </c>
      <c r="AR151" s="43">
        <f t="shared" si="187"/>
        <v>-14.599282947311735</v>
      </c>
      <c r="AS151" t="str">
        <f t="shared" si="164"/>
        <v>-0.0000166666666666667</v>
      </c>
      <c r="AT151" t="str">
        <f t="shared" si="165"/>
        <v>4.56729207594292E-06i</v>
      </c>
      <c r="AU151">
        <f t="shared" si="188"/>
        <v>4.5672920759429201E-6</v>
      </c>
      <c r="AV151">
        <f t="shared" si="189"/>
        <v>1.5707963267948966</v>
      </c>
      <c r="AW151" t="str">
        <f t="shared" si="166"/>
        <v>1+0.00456334113124055i</v>
      </c>
      <c r="AX151">
        <f t="shared" si="190"/>
        <v>1.0000104119869353</v>
      </c>
      <c r="AY151">
        <f t="shared" si="191"/>
        <v>4.5633094558392524E-3</v>
      </c>
      <c r="AZ151" t="str">
        <f t="shared" si="167"/>
        <v>1+0.155153598462178i</v>
      </c>
      <c r="BA151">
        <f t="shared" si="192"/>
        <v>1.011964742031936</v>
      </c>
      <c r="BB151">
        <f t="shared" si="193"/>
        <v>0.15392629146744183</v>
      </c>
      <c r="BC151" s="41" t="str">
        <f t="shared" si="194"/>
        <v>-0.549512778353976+3.65164289826574i</v>
      </c>
      <c r="BD151">
        <f t="shared" si="195"/>
        <v>11.347016476790778</v>
      </c>
      <c r="BE151" s="43">
        <f t="shared" si="196"/>
        <v>98.557868484753286</v>
      </c>
      <c r="BF151" s="41" t="str">
        <f t="shared" si="197"/>
        <v>11.3081710269132+67.9663957002909i</v>
      </c>
      <c r="BG151" s="20">
        <f t="shared" si="198"/>
        <v>36.764471966070957</v>
      </c>
      <c r="BH151" s="43">
        <f t="shared" si="199"/>
        <v>80.553723303833053</v>
      </c>
      <c r="BI151" s="41" t="str">
        <f t="shared" si="152"/>
        <v>27.1596130246582+256.621994238205i</v>
      </c>
      <c r="BJ151" s="20">
        <f t="shared" si="200"/>
        <v>48.234252705095379</v>
      </c>
      <c r="BK151" s="43">
        <f t="shared" si="153"/>
        <v>83.958585537441564</v>
      </c>
      <c r="BL151">
        <f t="shared" si="201"/>
        <v>36.764471966070957</v>
      </c>
      <c r="BM151" s="43">
        <f t="shared" si="202"/>
        <v>80.553723303833053</v>
      </c>
    </row>
    <row r="152" spans="14:65" x14ac:dyDescent="0.25">
      <c r="N152" s="9">
        <v>34</v>
      </c>
      <c r="O152" s="34">
        <f t="shared" si="154"/>
        <v>218.77616239495524</v>
      </c>
      <c r="P152" s="33" t="str">
        <f t="shared" si="155"/>
        <v>19.6196196196196</v>
      </c>
      <c r="Q152" s="4" t="str">
        <f t="shared" si="156"/>
        <v>1+0.332734334195219i</v>
      </c>
      <c r="R152" s="4">
        <f t="shared" si="168"/>
        <v>1.0539032864320785</v>
      </c>
      <c r="S152" s="4">
        <f t="shared" si="169"/>
        <v>0.32121135833119024</v>
      </c>
      <c r="T152" s="4" t="str">
        <f t="shared" si="157"/>
        <v>1+0.0051685379958954i</v>
      </c>
      <c r="U152" s="4">
        <f t="shared" si="170"/>
        <v>1.0000133568033054</v>
      </c>
      <c r="V152" s="4">
        <f t="shared" si="171"/>
        <v>5.1684919728954455E-3</v>
      </c>
      <c r="W152" t="str">
        <f t="shared" si="158"/>
        <v>1-0.00300696193245245i</v>
      </c>
      <c r="X152" s="4">
        <f t="shared" si="172"/>
        <v>1.0000045208998123</v>
      </c>
      <c r="Y152" s="4">
        <f t="shared" si="173"/>
        <v>-3.0069528696987065E-3</v>
      </c>
      <c r="Z152" t="str">
        <f t="shared" si="159"/>
        <v>0.999999952136991+0.00201282349764164i</v>
      </c>
      <c r="AA152" s="4">
        <f t="shared" si="174"/>
        <v>1.0000019778642526</v>
      </c>
      <c r="AB152" s="4">
        <f t="shared" si="175"/>
        <v>2.0128208756974072E-3</v>
      </c>
      <c r="AC152" s="47" t="str">
        <f t="shared" si="176"/>
        <v>17.665155139424-5.87488579233565i</v>
      </c>
      <c r="AD152" s="20">
        <f t="shared" si="177"/>
        <v>25.397934590148616</v>
      </c>
      <c r="AE152" s="43">
        <f t="shared" si="178"/>
        <v>-18.395534237269167</v>
      </c>
      <c r="AF152" t="str">
        <f t="shared" si="160"/>
        <v>72.2956529813786</v>
      </c>
      <c r="AG152" t="str">
        <f t="shared" si="161"/>
        <v>1+0.271348244784509i</v>
      </c>
      <c r="AH152">
        <f t="shared" si="179"/>
        <v>1.0361611216155691</v>
      </c>
      <c r="AI152">
        <f t="shared" si="180"/>
        <v>0.26496804359862752</v>
      </c>
      <c r="AJ152" t="str">
        <f t="shared" si="162"/>
        <v>1+0.0051685379958954i</v>
      </c>
      <c r="AK152">
        <f t="shared" si="181"/>
        <v>1.0000133568033054</v>
      </c>
      <c r="AL152">
        <f t="shared" si="182"/>
        <v>5.1684919728954455E-3</v>
      </c>
      <c r="AM152" t="str">
        <f t="shared" si="163"/>
        <v>1-0.0006654807706896i</v>
      </c>
      <c r="AN152">
        <f t="shared" si="183"/>
        <v>1.0000002214323036</v>
      </c>
      <c r="AO152">
        <f t="shared" si="184"/>
        <v>-6.6548067245032186E-4</v>
      </c>
      <c r="AP152" s="41" t="str">
        <f t="shared" si="185"/>
        <v>67.4201058398977-17.9687759203333i</v>
      </c>
      <c r="AQ152">
        <f t="shared" si="186"/>
        <v>36.873815774640775</v>
      </c>
      <c r="AR152" s="43">
        <f t="shared" si="187"/>
        <v>-14.923547061424525</v>
      </c>
      <c r="AS152" t="str">
        <f t="shared" si="164"/>
        <v>-0.0000166666666666667</v>
      </c>
      <c r="AT152" t="str">
        <f t="shared" si="165"/>
        <v>0.0000046736779750118i</v>
      </c>
      <c r="AU152">
        <f t="shared" si="188"/>
        <v>4.6736779750118001E-6</v>
      </c>
      <c r="AV152">
        <f t="shared" si="189"/>
        <v>1.5707963267948966</v>
      </c>
      <c r="AW152" t="str">
        <f t="shared" si="166"/>
        <v>1+0.00466963500098499i</v>
      </c>
      <c r="AX152">
        <f t="shared" si="190"/>
        <v>1.0000109026860868</v>
      </c>
      <c r="AY152">
        <f t="shared" si="191"/>
        <v>4.6696010602009846E-3</v>
      </c>
      <c r="AZ152" t="str">
        <f t="shared" si="167"/>
        <v>1+0.158767590033489i</v>
      </c>
      <c r="BA152">
        <f t="shared" si="192"/>
        <v>1.0125251343275592</v>
      </c>
      <c r="BB152">
        <f t="shared" si="193"/>
        <v>0.15745338390424013</v>
      </c>
      <c r="BC152" s="41" t="str">
        <f t="shared" si="194"/>
        <v>-0.549512239069081+3.56863684541507i</v>
      </c>
      <c r="BD152">
        <f t="shared" si="195"/>
        <v>11.151820839126552</v>
      </c>
      <c r="BE152" s="43">
        <f t="shared" si="196"/>
        <v>98.753865935006729</v>
      </c>
      <c r="BF152" s="41" t="str">
        <f t="shared" si="197"/>
        <v>11.2581149469669+66.2688451565434i</v>
      </c>
      <c r="BG152" s="20">
        <f t="shared" si="198"/>
        <v>36.549755429275173</v>
      </c>
      <c r="BH152" s="43">
        <f t="shared" si="199"/>
        <v>80.358331697737611</v>
      </c>
      <c r="BI152" s="41" t="str">
        <f t="shared" si="152"/>
        <v>27.0758624979519+250.471936111356i</v>
      </c>
      <c r="BJ152" s="20">
        <f t="shared" si="200"/>
        <v>48.02563661376734</v>
      </c>
      <c r="BK152" s="43">
        <f t="shared" si="153"/>
        <v>83.830318873582215</v>
      </c>
      <c r="BL152">
        <f t="shared" si="201"/>
        <v>36.549755429275173</v>
      </c>
      <c r="BM152" s="43">
        <f t="shared" si="202"/>
        <v>80.358331697737611</v>
      </c>
    </row>
    <row r="153" spans="14:65" x14ac:dyDescent="0.25">
      <c r="N153" s="9">
        <v>35</v>
      </c>
      <c r="O153" s="34">
        <f t="shared" si="154"/>
        <v>223.87211385683412</v>
      </c>
      <c r="P153" s="33" t="str">
        <f t="shared" si="155"/>
        <v>19.6196196196196</v>
      </c>
      <c r="Q153" s="4" t="str">
        <f t="shared" si="156"/>
        <v>1+0.340484712473171i</v>
      </c>
      <c r="R153" s="4">
        <f t="shared" si="168"/>
        <v>1.0563758040716087</v>
      </c>
      <c r="S153" s="4">
        <f t="shared" si="169"/>
        <v>0.32817292848099405</v>
      </c>
      <c r="T153" s="4" t="str">
        <f t="shared" si="157"/>
        <v>1+0.00528892871153659i</v>
      </c>
      <c r="U153" s="4">
        <f t="shared" si="170"/>
        <v>1.0000139862856499</v>
      </c>
      <c r="V153" s="4">
        <f t="shared" si="171"/>
        <v>5.2888793970409043E-3</v>
      </c>
      <c r="W153" t="str">
        <f t="shared" si="158"/>
        <v>1-0.00307700307353359i</v>
      </c>
      <c r="X153" s="4">
        <f t="shared" si="172"/>
        <v>1.000004733962752</v>
      </c>
      <c r="Y153" s="4">
        <f t="shared" si="173"/>
        <v>-3.0769933626204776E-3</v>
      </c>
      <c r="Z153" t="str">
        <f t="shared" si="159"/>
        <v>0.999999949881277+0.00205970817983473i</v>
      </c>
      <c r="AA153" s="4">
        <f t="shared" si="174"/>
        <v>1.0000020710780266</v>
      </c>
      <c r="AB153" s="4">
        <f t="shared" si="175"/>
        <v>2.059705370371181E-3</v>
      </c>
      <c r="AC153" s="47" t="str">
        <f t="shared" si="176"/>
        <v>17.5826131369821-5.9836252020318i</v>
      </c>
      <c r="AD153" s="20">
        <f t="shared" si="177"/>
        <v>25.377587368909001</v>
      </c>
      <c r="AE153" s="43">
        <f t="shared" si="178"/>
        <v>-18.794204442636051</v>
      </c>
      <c r="AF153" t="str">
        <f t="shared" si="160"/>
        <v>72.2956529813786</v>
      </c>
      <c r="AG153" t="str">
        <f t="shared" si="161"/>
        <v>1+0.277668757355671i</v>
      </c>
      <c r="AH153">
        <f t="shared" si="179"/>
        <v>1.0378342540172021</v>
      </c>
      <c r="AI153">
        <f t="shared" si="180"/>
        <v>0.27084563655694427</v>
      </c>
      <c r="AJ153" t="str">
        <f t="shared" si="162"/>
        <v>1+0.00528892871153659i</v>
      </c>
      <c r="AK153">
        <f t="shared" si="181"/>
        <v>1.0000139862856499</v>
      </c>
      <c r="AL153">
        <f t="shared" si="182"/>
        <v>5.2888793970409043E-3</v>
      </c>
      <c r="AM153" t="str">
        <f t="shared" si="163"/>
        <v>1-0.000680981809144265i</v>
      </c>
      <c r="AN153">
        <f t="shared" si="183"/>
        <v>1.0000002318680852</v>
      </c>
      <c r="AO153">
        <f t="shared" si="184"/>
        <v>-6.809817038789833E-4</v>
      </c>
      <c r="AP153" s="41" t="str">
        <f t="shared" si="185"/>
        <v>67.2067760926272-18.3280874733086i</v>
      </c>
      <c r="AQ153">
        <f t="shared" si="186"/>
        <v>36.859807177620411</v>
      </c>
      <c r="AR153" s="43">
        <f t="shared" si="187"/>
        <v>-15.254298784000834</v>
      </c>
      <c r="AS153" t="str">
        <f t="shared" si="164"/>
        <v>-0.0000166666666666667</v>
      </c>
      <c r="AT153" t="str">
        <f t="shared" si="165"/>
        <v>4.78254192000649E-06i</v>
      </c>
      <c r="AU153">
        <f t="shared" si="188"/>
        <v>4.7825419200064899E-6</v>
      </c>
      <c r="AV153">
        <f t="shared" si="189"/>
        <v>1.5707963267948966</v>
      </c>
      <c r="AW153" t="str">
        <f t="shared" si="166"/>
        <v>1+0.00477840477301688i</v>
      </c>
      <c r="AX153">
        <f t="shared" si="190"/>
        <v>1.0000114165109191</v>
      </c>
      <c r="AY153">
        <f t="shared" si="191"/>
        <v>4.7783684048340064E-3</v>
      </c>
      <c r="AZ153" t="str">
        <f t="shared" si="167"/>
        <v>1+0.162465762282574i</v>
      </c>
      <c r="BA153">
        <f t="shared" si="192"/>
        <v>1.0131116048659485</v>
      </c>
      <c r="BB153">
        <f t="shared" si="193"/>
        <v>0.16105854746965573</v>
      </c>
      <c r="BC153" s="41" t="str">
        <f t="shared" si="194"/>
        <v>-0.549511674369608+3.48752293081891i</v>
      </c>
      <c r="BD153">
        <f t="shared" si="195"/>
        <v>10.956845924061316</v>
      </c>
      <c r="BE153" s="43">
        <f t="shared" si="196"/>
        <v>98.954194681963045</v>
      </c>
      <c r="BF153" s="41" t="str">
        <f t="shared" si="197"/>
        <v>11.2061789168157+64.6078384025116i</v>
      </c>
      <c r="BG153" s="20">
        <f t="shared" si="198"/>
        <v>36.334433292970317</v>
      </c>
      <c r="BH153" s="43">
        <f t="shared" si="199"/>
        <v>80.159990239327044</v>
      </c>
      <c r="BI153" s="41" t="str">
        <f t="shared" si="152"/>
        <v>26.9887172815757+244.4566707649i</v>
      </c>
      <c r="BJ153" s="20">
        <f t="shared" si="200"/>
        <v>47.816653101681723</v>
      </c>
      <c r="BK153" s="43">
        <f t="shared" si="153"/>
        <v>83.699895897962207</v>
      </c>
      <c r="BL153">
        <f t="shared" si="201"/>
        <v>36.334433292970317</v>
      </c>
      <c r="BM153" s="43">
        <f t="shared" si="202"/>
        <v>80.159990239327044</v>
      </c>
    </row>
    <row r="154" spans="14:65" x14ac:dyDescent="0.25">
      <c r="N154" s="9">
        <v>36</v>
      </c>
      <c r="O154" s="34">
        <f t="shared" si="154"/>
        <v>229.08676527677744</v>
      </c>
      <c r="P154" s="33" t="str">
        <f t="shared" si="155"/>
        <v>19.6196196196196</v>
      </c>
      <c r="Q154" s="4" t="str">
        <f t="shared" si="156"/>
        <v>1+0.348415620252523i</v>
      </c>
      <c r="R154" s="4">
        <f t="shared" si="168"/>
        <v>1.0589586603998997</v>
      </c>
      <c r="S154" s="4">
        <f t="shared" si="169"/>
        <v>0.33526264852749232</v>
      </c>
      <c r="T154" s="4" t="str">
        <f t="shared" si="157"/>
        <v>1+0.00541212368718787i</v>
      </c>
      <c r="U154" s="4">
        <f t="shared" si="170"/>
        <v>1.0000146454341583</v>
      </c>
      <c r="V154" s="4">
        <f t="shared" si="171"/>
        <v>5.4120708457955115E-3</v>
      </c>
      <c r="W154" t="str">
        <f t="shared" si="158"/>
        <v>1-0.00314867568237327i</v>
      </c>
      <c r="X154" s="4">
        <f t="shared" si="172"/>
        <v>1.0000049570669902</v>
      </c>
      <c r="Y154" s="4">
        <f t="shared" si="173"/>
        <v>-3.1486652769451844E-3</v>
      </c>
      <c r="Z154" t="str">
        <f t="shared" si="159"/>
        <v>0.999999947519254+0.00210768494656823i</v>
      </c>
      <c r="AA154" s="4">
        <f t="shared" si="174"/>
        <v>1.0000021686848208</v>
      </c>
      <c r="AB154" s="4">
        <f t="shared" si="175"/>
        <v>2.1076819361741527E-3</v>
      </c>
      <c r="AC154" s="47" t="str">
        <f t="shared" si="176"/>
        <v>17.4970043172272-6.09317432005668i</v>
      </c>
      <c r="AD154" s="20">
        <f t="shared" si="177"/>
        <v>25.35638296055799</v>
      </c>
      <c r="AE154" s="43">
        <f t="shared" si="178"/>
        <v>-19.200212482080449</v>
      </c>
      <c r="AF154" t="str">
        <f t="shared" si="160"/>
        <v>72.2956529813786</v>
      </c>
      <c r="AG154" t="str">
        <f t="shared" si="161"/>
        <v>1+0.284136493577363i</v>
      </c>
      <c r="AH154">
        <f t="shared" si="179"/>
        <v>1.0395833525900839</v>
      </c>
      <c r="AI154">
        <f t="shared" si="180"/>
        <v>0.27684033834675409</v>
      </c>
      <c r="AJ154" t="str">
        <f t="shared" si="162"/>
        <v>1+0.00541212368718787i</v>
      </c>
      <c r="AK154">
        <f t="shared" si="181"/>
        <v>1.0000146454341583</v>
      </c>
      <c r="AL154">
        <f t="shared" si="182"/>
        <v>5.4120708457955115E-3</v>
      </c>
      <c r="AM154" t="str">
        <f t="shared" si="163"/>
        <v>1-0.000696843913167996i</v>
      </c>
      <c r="AN154">
        <f t="shared" si="183"/>
        <v>1.0000002427956902</v>
      </c>
      <c r="AO154">
        <f t="shared" si="184"/>
        <v>-6.9684380037421596E-4</v>
      </c>
      <c r="AP154" s="41" t="str">
        <f t="shared" si="185"/>
        <v>66.9848607281544-18.6919492198131i</v>
      </c>
      <c r="AQ154">
        <f t="shared" si="186"/>
        <v>36.845186684084084</v>
      </c>
      <c r="AR154" s="43">
        <f t="shared" si="187"/>
        <v>-15.591620377094117</v>
      </c>
      <c r="AS154" t="str">
        <f t="shared" si="164"/>
        <v>-0.0000166666666666667</v>
      </c>
      <c r="AT154" t="str">
        <f t="shared" si="165"/>
        <v>4.89394163203158E-06i</v>
      </c>
      <c r="AU154">
        <f t="shared" si="188"/>
        <v>4.89394163203158E-6</v>
      </c>
      <c r="AV154">
        <f t="shared" si="189"/>
        <v>1.5707963267948966</v>
      </c>
      <c r="AW154" t="str">
        <f t="shared" si="166"/>
        <v>1+0.00488970811850908i</v>
      </c>
      <c r="AX154">
        <f t="shared" si="190"/>
        <v>1.0000119545512864</v>
      </c>
      <c r="AY154">
        <f t="shared" si="191"/>
        <v>4.8896691493241955E-3</v>
      </c>
      <c r="AZ154" t="str">
        <f t="shared" si="167"/>
        <v>1+0.166250076029308i</v>
      </c>
      <c r="BA154">
        <f t="shared" si="192"/>
        <v>1.0137253512563207</v>
      </c>
      <c r="BB154">
        <f t="shared" si="193"/>
        <v>0.16474331862177413</v>
      </c>
      <c r="BC154" s="41" t="str">
        <f t="shared" si="194"/>
        <v>-0.549511083057906+3.40825814678909i</v>
      </c>
      <c r="BD154">
        <f t="shared" si="195"/>
        <v>10.762101598471737</v>
      </c>
      <c r="BE154" s="43">
        <f t="shared" si="196"/>
        <v>99.158939454535016</v>
      </c>
      <c r="BF154" s="41" t="str">
        <f t="shared" si="197"/>
        <v>11.1523132235109+62.9825743284685i</v>
      </c>
      <c r="BG154" s="20">
        <f t="shared" si="198"/>
        <v>36.118484559029739</v>
      </c>
      <c r="BH154" s="43">
        <f t="shared" si="199"/>
        <v>79.958726972454571</v>
      </c>
      <c r="BI154" s="41" t="str">
        <f t="shared" si="152"/>
        <v>26.8980648405849+238.573130548508i</v>
      </c>
      <c r="BJ154" s="20">
        <f t="shared" si="200"/>
        <v>47.607288282555835</v>
      </c>
      <c r="BK154" s="43">
        <f t="shared" si="153"/>
        <v>83.567319077440914</v>
      </c>
      <c r="BL154">
        <f t="shared" si="201"/>
        <v>36.118484559029739</v>
      </c>
      <c r="BM154" s="43">
        <f t="shared" si="202"/>
        <v>79.958726972454571</v>
      </c>
    </row>
    <row r="155" spans="14:65" x14ac:dyDescent="0.25">
      <c r="N155" s="9">
        <v>37</v>
      </c>
      <c r="O155" s="34">
        <f t="shared" si="154"/>
        <v>234.42288153199232</v>
      </c>
      <c r="P155" s="33" t="str">
        <f t="shared" si="155"/>
        <v>19.6196196196196</v>
      </c>
      <c r="Q155" s="4" t="str">
        <f t="shared" si="156"/>
        <v>1+0.356531262605557i</v>
      </c>
      <c r="R155" s="4">
        <f t="shared" si="168"/>
        <v>1.0616565081113158</v>
      </c>
      <c r="S155" s="4">
        <f t="shared" si="169"/>
        <v>0.34248142574431734</v>
      </c>
      <c r="T155" s="4" t="str">
        <f t="shared" si="157"/>
        <v>1+0.00553818824245599i</v>
      </c>
      <c r="U155" s="4">
        <f t="shared" si="170"/>
        <v>1.0000153356469135</v>
      </c>
      <c r="V155" s="4">
        <f t="shared" si="171"/>
        <v>5.5381316219308575E-3</v>
      </c>
      <c r="W155" t="str">
        <f t="shared" si="158"/>
        <v>1-0.00322201776073737i</v>
      </c>
      <c r="X155" s="4">
        <f t="shared" si="172"/>
        <v>1.0000051906857537</v>
      </c>
      <c r="Y155" s="4">
        <f t="shared" si="173"/>
        <v>-3.2220066111234226E-3</v>
      </c>
      <c r="Z155" t="str">
        <f t="shared" si="159"/>
        <v>0.999999945045913+0.00215677923575889i</v>
      </c>
      <c r="AA155" s="4">
        <f t="shared" si="174"/>
        <v>1.000002270891672</v>
      </c>
      <c r="AB155" s="4">
        <f t="shared" si="175"/>
        <v>2.156776010063915E-3</v>
      </c>
      <c r="AC155" s="47" t="str">
        <f t="shared" si="176"/>
        <v>17.4082504363458-6.20345908398267i</v>
      </c>
      <c r="AD155" s="20">
        <f t="shared" si="177"/>
        <v>25.334289698520557</v>
      </c>
      <c r="AE155" s="43">
        <f t="shared" si="178"/>
        <v>-19.61361023156028</v>
      </c>
      <c r="AF155" t="str">
        <f t="shared" si="160"/>
        <v>72.2956529813786</v>
      </c>
      <c r="AG155" t="str">
        <f t="shared" si="161"/>
        <v>1+0.29075488272894i</v>
      </c>
      <c r="AH155">
        <f t="shared" si="179"/>
        <v>1.0414117350168086</v>
      </c>
      <c r="AI155">
        <f t="shared" si="180"/>
        <v>0.28295360333169273</v>
      </c>
      <c r="AJ155" t="str">
        <f t="shared" si="162"/>
        <v>1+0.00553818824245599i</v>
      </c>
      <c r="AK155">
        <f t="shared" si="181"/>
        <v>1.0000153356469135</v>
      </c>
      <c r="AL155">
        <f t="shared" si="182"/>
        <v>5.5381316219308575E-3</v>
      </c>
      <c r="AM155" t="str">
        <f t="shared" si="163"/>
        <v>1-0.000713075493058304i</v>
      </c>
      <c r="AN155">
        <f t="shared" si="183"/>
        <v>1.0000002542382971</v>
      </c>
      <c r="AO155">
        <f t="shared" si="184"/>
        <v>-7.1307537219759281E-4</v>
      </c>
      <c r="AP155" s="41" t="str">
        <f t="shared" si="185"/>
        <v>66.754080584757-19.0602401951728i</v>
      </c>
      <c r="AQ155">
        <f t="shared" si="186"/>
        <v>36.829929761147611</v>
      </c>
      <c r="AR155" s="43">
        <f t="shared" si="187"/>
        <v>-15.935591909901921</v>
      </c>
      <c r="AS155" t="str">
        <f t="shared" si="164"/>
        <v>-0.0000166666666666667</v>
      </c>
      <c r="AT155" t="str">
        <f t="shared" si="165"/>
        <v>5.00793617668895E-06i</v>
      </c>
      <c r="AU155">
        <f t="shared" si="188"/>
        <v>5.0079361766889502E-6</v>
      </c>
      <c r="AV155">
        <f t="shared" si="189"/>
        <v>1.5707963267948966</v>
      </c>
      <c r="AW155" t="str">
        <f t="shared" si="166"/>
        <v>1+0.00500360405196862i</v>
      </c>
      <c r="AX155">
        <f t="shared" si="190"/>
        <v>1.000012517948405</v>
      </c>
      <c r="AY155">
        <f t="shared" si="191"/>
        <v>5.0035622957629372E-3</v>
      </c>
      <c r="AZ155" t="str">
        <f t="shared" si="167"/>
        <v>1+0.170122537766933i</v>
      </c>
      <c r="BA155">
        <f t="shared" si="192"/>
        <v>1.0143676246096685</v>
      </c>
      <c r="BB155">
        <f t="shared" si="193"/>
        <v>0.16850925063131575</v>
      </c>
      <c r="BC155" s="41" t="str">
        <f t="shared" si="194"/>
        <v>-0.549510463879909+3.33080046606974i</v>
      </c>
      <c r="BD155">
        <f t="shared" si="195"/>
        <v>10.567598144670619</v>
      </c>
      <c r="BE155" s="43">
        <f t="shared" si="196"/>
        <v>99.368185868008553</v>
      </c>
      <c r="BF155" s="41" t="str">
        <f t="shared" si="197"/>
        <v>11.09646863556+61.3922743457387i</v>
      </c>
      <c r="BG155" s="20">
        <f t="shared" si="198"/>
        <v>35.901887843191169</v>
      </c>
      <c r="BH155" s="43">
        <f t="shared" si="199"/>
        <v>79.754575636448308</v>
      </c>
      <c r="BI155" s="41" t="str">
        <f t="shared" si="152"/>
        <v>26.8037911374761+232.818324155078i</v>
      </c>
      <c r="BJ155" s="20">
        <f t="shared" si="200"/>
        <v>47.397527905818244</v>
      </c>
      <c r="BK155" s="43">
        <f t="shared" si="153"/>
        <v>83.432593958106651</v>
      </c>
      <c r="BL155">
        <f t="shared" si="201"/>
        <v>35.901887843191169</v>
      </c>
      <c r="BM155" s="43">
        <f t="shared" si="202"/>
        <v>79.754575636448308</v>
      </c>
    </row>
    <row r="156" spans="14:65" x14ac:dyDescent="0.25">
      <c r="N156" s="9">
        <v>38</v>
      </c>
      <c r="O156" s="34">
        <f t="shared" si="154"/>
        <v>239.88329190194912</v>
      </c>
      <c r="P156" s="33" t="str">
        <f t="shared" si="155"/>
        <v>19.6196196196196</v>
      </c>
      <c r="Q156" s="4" t="str">
        <f t="shared" si="156"/>
        <v>1+0.364835942553277i</v>
      </c>
      <c r="R156" s="4">
        <f t="shared" si="168"/>
        <v>1.0644741729975125</v>
      </c>
      <c r="S156" s="4">
        <f t="shared" si="169"/>
        <v>0.34983007727156956</v>
      </c>
      <c r="T156" s="4" t="str">
        <f t="shared" si="157"/>
        <v>1+0.0056671892184369i</v>
      </c>
      <c r="U156" s="4">
        <f t="shared" si="170"/>
        <v>1.0000160583878828</v>
      </c>
      <c r="V156" s="4">
        <f t="shared" si="171"/>
        <v>5.6671285485037654E-3</v>
      </c>
      <c r="W156" t="str">
        <f t="shared" si="158"/>
        <v>1-0.00329706819556669i</v>
      </c>
      <c r="X156" s="4">
        <f t="shared" si="172"/>
        <v>1.0000054353145718</v>
      </c>
      <c r="Y156" s="4">
        <f t="shared" si="173"/>
        <v>-3.2970562485436063E-3</v>
      </c>
      <c r="Z156" t="str">
        <f t="shared" si="159"/>
        <v>0.999999942456006+0.00220701707784872i</v>
      </c>
      <c r="AA156" s="4">
        <f t="shared" si="174"/>
        <v>1.0000023779153715</v>
      </c>
      <c r="AB156" s="4">
        <f t="shared" si="175"/>
        <v>2.2070136214547269E-3</v>
      </c>
      <c r="AC156" s="47" t="str">
        <f t="shared" si="176"/>
        <v>17.3162743104786-6.31440004918639i</v>
      </c>
      <c r="AD156" s="20">
        <f t="shared" si="177"/>
        <v>25.311275123971644</v>
      </c>
      <c r="AE156" s="43">
        <f t="shared" si="178"/>
        <v>-20.034444400305059</v>
      </c>
      <c r="AF156" t="str">
        <f t="shared" si="160"/>
        <v>72.2956529813786</v>
      </c>
      <c r="AG156" t="str">
        <f t="shared" si="161"/>
        <v>1+0.297527433967938i</v>
      </c>
      <c r="AH156">
        <f t="shared" si="179"/>
        <v>1.0433228522195541</v>
      </c>
      <c r="AI156">
        <f t="shared" si="180"/>
        <v>0.28918684441758302</v>
      </c>
      <c r="AJ156" t="str">
        <f t="shared" si="162"/>
        <v>1+0.0056671892184369i</v>
      </c>
      <c r="AK156">
        <f t="shared" si="181"/>
        <v>1.0000160583878828</v>
      </c>
      <c r="AL156">
        <f t="shared" si="182"/>
        <v>5.6671285485037654E-3</v>
      </c>
      <c r="AM156" t="str">
        <f t="shared" si="163"/>
        <v>1-0.000729685155013709i</v>
      </c>
      <c r="AN156">
        <f t="shared" si="183"/>
        <v>1.0000002662201772</v>
      </c>
      <c r="AO156">
        <f t="shared" si="184"/>
        <v>-7.2968502550912562E-4</v>
      </c>
      <c r="AP156" s="41" t="str">
        <f t="shared" si="185"/>
        <v>66.5141533042223-19.4328252747919i</v>
      </c>
      <c r="AQ156">
        <f t="shared" si="186"/>
        <v>36.814011086545165</v>
      </c>
      <c r="AR156" s="43">
        <f t="shared" si="187"/>
        <v>-16.286291000382068</v>
      </c>
      <c r="AS156" t="str">
        <f t="shared" si="164"/>
        <v>-0.0000166666666666667</v>
      </c>
      <c r="AT156" t="str">
        <f t="shared" si="165"/>
        <v>5.12458599539507E-06i</v>
      </c>
      <c r="AU156">
        <f t="shared" si="188"/>
        <v>5.1245859953950699E-6</v>
      </c>
      <c r="AV156">
        <f t="shared" si="189"/>
        <v>1.5707963267948966</v>
      </c>
      <c r="AW156" t="str">
        <f t="shared" si="166"/>
        <v>1+0.0051201529625271i</v>
      </c>
      <c r="AX156">
        <f t="shared" si="190"/>
        <v>1.0000131078972714</v>
      </c>
      <c r="AY156">
        <f t="shared" si="191"/>
        <v>5.1201082199782717E-3</v>
      </c>
      <c r="AZ156" t="str">
        <f t="shared" si="167"/>
        <v>1+0.174085200725921i</v>
      </c>
      <c r="BA156">
        <f t="shared" si="192"/>
        <v>1.0150397317897384</v>
      </c>
      <c r="BB156">
        <f t="shared" si="193"/>
        <v>0.17235791275520471</v>
      </c>
      <c r="BC156" s="41" t="str">
        <f t="shared" si="194"/>
        <v>-0.549509815522451+3.25510881955376i</v>
      </c>
      <c r="BD156">
        <f t="shared" si="195"/>
        <v>10.373346275499969</v>
      </c>
      <c r="BE156" s="43">
        <f t="shared" si="196"/>
        <v>99.582020374902271</v>
      </c>
      <c r="BF156" s="41" t="str">
        <f t="shared" si="197"/>
        <v>11.0385965884101+59.8361820360145i</v>
      </c>
      <c r="BG156" s="20">
        <f t="shared" si="198"/>
        <v>35.684621399471624</v>
      </c>
      <c r="BH156" s="43">
        <f t="shared" si="199"/>
        <v>79.54757597459718</v>
      </c>
      <c r="BI156" s="41" t="str">
        <f t="shared" si="152"/>
        <v>26.7057808289871+227.189335277556i</v>
      </c>
      <c r="BJ156" s="20">
        <f t="shared" si="200"/>
        <v>47.187357362045141</v>
      </c>
      <c r="BK156" s="43">
        <f t="shared" si="153"/>
        <v>83.295729374520221</v>
      </c>
      <c r="BL156">
        <f t="shared" si="201"/>
        <v>35.684621399471624</v>
      </c>
      <c r="BM156" s="43">
        <f t="shared" si="202"/>
        <v>79.54757597459718</v>
      </c>
    </row>
    <row r="157" spans="14:65" x14ac:dyDescent="0.25">
      <c r="N157" s="9">
        <v>39</v>
      </c>
      <c r="O157" s="34">
        <f t="shared" si="154"/>
        <v>245.4708915685033</v>
      </c>
      <c r="P157" s="33" t="str">
        <f t="shared" si="155"/>
        <v>19.6196196196196</v>
      </c>
      <c r="Q157" s="4" t="str">
        <f t="shared" si="156"/>
        <v>1+0.373334063346912i</v>
      </c>
      <c r="R157" s="4">
        <f t="shared" si="168"/>
        <v>1.0674166585055322</v>
      </c>
      <c r="S157" s="4">
        <f t="shared" si="169"/>
        <v>0.35730932372044172</v>
      </c>
      <c r="T157" s="4" t="str">
        <f t="shared" si="157"/>
        <v>1+0.00579919501315551i</v>
      </c>
      <c r="U157" s="4">
        <f t="shared" si="170"/>
        <v>1.0000168151900251</v>
      </c>
      <c r="V157" s="4">
        <f t="shared" si="171"/>
        <v>5.7991300042099471E-3</v>
      </c>
      <c r="W157" t="str">
        <f t="shared" si="158"/>
        <v>1-0.00337386677959514i</v>
      </c>
      <c r="X157" s="4">
        <f t="shared" si="172"/>
        <v>1.0000056914723268</v>
      </c>
      <c r="Y157" s="4">
        <f t="shared" si="173"/>
        <v>-3.3738539781332012E-3</v>
      </c>
      <c r="Z157" t="str">
        <f t="shared" si="159"/>
        <v>0.999999939744041+0.00225842510960654i</v>
      </c>
      <c r="AA157" s="4">
        <f t="shared" si="174"/>
        <v>1.0000024899829305</v>
      </c>
      <c r="AB157" s="4">
        <f t="shared" si="175"/>
        <v>2.2584214060141481E-3</v>
      </c>
      <c r="AC157" s="47" t="str">
        <f t="shared" si="176"/>
        <v>17.2210001307963-6.42591226403845i</v>
      </c>
      <c r="AD157" s="20">
        <f t="shared" si="177"/>
        <v>25.287305998269321</v>
      </c>
      <c r="AE157" s="43">
        <f t="shared" si="178"/>
        <v>-20.462756164333179</v>
      </c>
      <c r="AF157" t="str">
        <f t="shared" si="160"/>
        <v>72.2956529813786</v>
      </c>
      <c r="AG157" t="str">
        <f t="shared" si="161"/>
        <v>1+0.304457738190665i</v>
      </c>
      <c r="AH157">
        <f t="shared" si="179"/>
        <v>1.0453202927065826</v>
      </c>
      <c r="AI157">
        <f t="shared" si="180"/>
        <v>0.2955414283593234</v>
      </c>
      <c r="AJ157" t="str">
        <f t="shared" si="162"/>
        <v>1+0.00579919501315551i</v>
      </c>
      <c r="AK157">
        <f t="shared" si="181"/>
        <v>1.0000168151900251</v>
      </c>
      <c r="AL157">
        <f t="shared" si="182"/>
        <v>5.7991300042099471E-3</v>
      </c>
      <c r="AM157" t="str">
        <f t="shared" si="163"/>
        <v>1-0.000746681705696823i</v>
      </c>
      <c r="AN157">
        <f t="shared" si="183"/>
        <v>1.0000002787667459</v>
      </c>
      <c r="AO157">
        <f t="shared" si="184"/>
        <v>-7.4668156693016385E-4</v>
      </c>
      <c r="AP157" s="41" t="str">
        <f t="shared" si="185"/>
        <v>66.2647938704883-19.8095545147197i</v>
      </c>
      <c r="AQ157">
        <f t="shared" si="186"/>
        <v>36.797404540408117</v>
      </c>
      <c r="AR157" s="43">
        <f t="shared" si="187"/>
        <v>-16.643792544593619</v>
      </c>
      <c r="AS157" t="str">
        <f t="shared" si="164"/>
        <v>-0.0000166666666666667</v>
      </c>
      <c r="AT157" t="str">
        <f t="shared" si="165"/>
        <v>5.24395293742788E-06i</v>
      </c>
      <c r="AU157">
        <f t="shared" si="188"/>
        <v>5.2439529374278803E-6</v>
      </c>
      <c r="AV157">
        <f t="shared" si="189"/>
        <v>1.5707963267948966</v>
      </c>
      <c r="AW157" t="str">
        <f t="shared" si="166"/>
        <v>1+0.00523941664595951i</v>
      </c>
      <c r="AX157">
        <f t="shared" si="190"/>
        <v>1.0000137256491983</v>
      </c>
      <c r="AY157">
        <f t="shared" si="191"/>
        <v>5.2393687034902152E-3</v>
      </c>
      <c r="AZ157" t="str">
        <f t="shared" si="167"/>
        <v>1+0.178140165962623i</v>
      </c>
      <c r="BA157">
        <f t="shared" si="192"/>
        <v>1.0157430377458616</v>
      </c>
      <c r="BB157">
        <f t="shared" si="193"/>
        <v>0.17629088931961004</v>
      </c>
      <c r="BC157" s="41" t="str">
        <f t="shared" si="194"/>
        <v>-0.549509136610481+3.18114307450737i</v>
      </c>
      <c r="BD157">
        <f t="shared" si="195"/>
        <v>10.179357149744643</v>
      </c>
      <c r="BE157" s="43">
        <f t="shared" si="196"/>
        <v>99.800530210598637</v>
      </c>
      <c r="BF157" s="41" t="str">
        <f t="shared" si="197"/>
        <v>10.978649382695+58.3135628023196i</v>
      </c>
      <c r="BG157" s="20">
        <f t="shared" si="198"/>
        <v>35.466663148013964</v>
      </c>
      <c r="BH157" s="43">
        <f t="shared" si="199"/>
        <v>79.337774046265494</v>
      </c>
      <c r="BI157" s="41" t="str">
        <f t="shared" si="152"/>
        <v>26.6039174861333+221.683321302784i</v>
      </c>
      <c r="BJ157" s="20">
        <f t="shared" si="200"/>
        <v>46.976761690152749</v>
      </c>
      <c r="BK157" s="43">
        <f t="shared" si="153"/>
        <v>83.156737666005014</v>
      </c>
      <c r="BL157">
        <f t="shared" si="201"/>
        <v>35.466663148013964</v>
      </c>
      <c r="BM157" s="43">
        <f t="shared" si="202"/>
        <v>79.337774046265494</v>
      </c>
    </row>
    <row r="158" spans="14:65" x14ac:dyDescent="0.25">
      <c r="N158" s="9">
        <v>40</v>
      </c>
      <c r="O158" s="34">
        <f t="shared" si="154"/>
        <v>251.18864315095806</v>
      </c>
      <c r="P158" s="33" t="str">
        <f t="shared" si="155"/>
        <v>19.6196196196196</v>
      </c>
      <c r="Q158" s="4" t="str">
        <f t="shared" si="156"/>
        <v>1+0.382030130802595i</v>
      </c>
      <c r="R158" s="4">
        <f t="shared" si="168"/>
        <v>1.0704891502677867</v>
      </c>
      <c r="S158" s="4">
        <f t="shared" si="169"/>
        <v>0.36491978264008568</v>
      </c>
      <c r="T158" s="4" t="str">
        <f t="shared" si="157"/>
        <v>1+0.00593427561783156i</v>
      </c>
      <c r="U158" s="4">
        <f t="shared" si="170"/>
        <v>1.0000176076585394</v>
      </c>
      <c r="V158" s="4">
        <f t="shared" si="171"/>
        <v>5.9342059595576179E-3</v>
      </c>
      <c r="W158" t="str">
        <f t="shared" si="158"/>
        <v>1-0.00345245423244855i</v>
      </c>
      <c r="X158" s="4">
        <f t="shared" si="172"/>
        <v>1.0000059597023545</v>
      </c>
      <c r="Y158" s="4">
        <f t="shared" si="173"/>
        <v>-3.4524405154393628E-3</v>
      </c>
      <c r="Z158" t="str">
        <f t="shared" si="159"/>
        <v>0.999999936904266+0.00231103058825127i</v>
      </c>
      <c r="AA158" s="4">
        <f t="shared" si="174"/>
        <v>1.0000026073320587</v>
      </c>
      <c r="AB158" s="4">
        <f t="shared" si="175"/>
        <v>2.3110266197810801E-3</v>
      </c>
      <c r="AC158" s="47" t="str">
        <f t="shared" si="176"/>
        <v>17.1223537988087-6.53790516042297i</v>
      </c>
      <c r="AD158" s="20">
        <f t="shared" si="177"/>
        <v>25.262348318706582</v>
      </c>
      <c r="AE158" s="43">
        <f t="shared" si="178"/>
        <v>-20.898580792074764</v>
      </c>
      <c r="AF158" t="str">
        <f t="shared" si="160"/>
        <v>72.2956529813786</v>
      </c>
      <c r="AG158" t="str">
        <f t="shared" si="161"/>
        <v>1+0.311549469936157i</v>
      </c>
      <c r="AH158">
        <f t="shared" si="179"/>
        <v>1.0474077869757796</v>
      </c>
      <c r="AI158">
        <f t="shared" si="180"/>
        <v>0.3020186708545855</v>
      </c>
      <c r="AJ158" t="str">
        <f t="shared" si="162"/>
        <v>1+0.00593427561783156i</v>
      </c>
      <c r="AK158">
        <f t="shared" si="181"/>
        <v>1.0000176076585394</v>
      </c>
      <c r="AL158">
        <f t="shared" si="182"/>
        <v>5.9342059595576179E-3</v>
      </c>
      <c r="AM158" t="str">
        <f t="shared" si="163"/>
        <v>1-0.000764074156903802i</v>
      </c>
      <c r="AN158">
        <f t="shared" si="183"/>
        <v>1.000000291904616</v>
      </c>
      <c r="AO158">
        <f t="shared" si="184"/>
        <v>-7.6407400821265018E-4</v>
      </c>
      <c r="AP158" s="41" t="str">
        <f t="shared" si="185"/>
        <v>66.0057152080179-20.1902624951519i</v>
      </c>
      <c r="AQ158">
        <f t="shared" si="186"/>
        <v>36.780083198643972</v>
      </c>
      <c r="AR158" s="43">
        <f t="shared" si="187"/>
        <v>-17.008168433780735</v>
      </c>
      <c r="AS158" t="str">
        <f t="shared" si="164"/>
        <v>-0.0000166666666666667</v>
      </c>
      <c r="AT158" t="str">
        <f t="shared" si="165"/>
        <v>5.36610029272002E-06i</v>
      </c>
      <c r="AU158">
        <f t="shared" si="188"/>
        <v>5.3661002927200203E-6</v>
      </c>
      <c r="AV158">
        <f t="shared" si="189"/>
        <v>1.5707963267948966</v>
      </c>
      <c r="AW158" t="str">
        <f t="shared" si="166"/>
        <v>1+0.00536145833744952i</v>
      </c>
      <c r="AX158">
        <f t="shared" si="190"/>
        <v>1.0000143725144675</v>
      </c>
      <c r="AY158">
        <f t="shared" si="191"/>
        <v>5.3614069662080059E-3</v>
      </c>
      <c r="AZ158" t="str">
        <f t="shared" si="167"/>
        <v>1+0.182289583473283i</v>
      </c>
      <c r="BA158">
        <f t="shared" si="192"/>
        <v>1.0164789679294222</v>
      </c>
      <c r="BB158">
        <f t="shared" si="193"/>
        <v>0.18030977870699744</v>
      </c>
      <c r="BC158" s="41" t="str">
        <f t="shared" si="194"/>
        <v>-0.549508425704179+3.10886401329114i</v>
      </c>
      <c r="BD158">
        <f t="shared" si="195"/>
        <v>9.9856423878494223</v>
      </c>
      <c r="BE158" s="43">
        <f t="shared" si="196"/>
        <v>100.02380333343304</v>
      </c>
      <c r="BF158" s="41" t="str">
        <f t="shared" si="197"/>
        <v>10.9165803952161+56.8237035200625i</v>
      </c>
      <c r="BG158" s="20">
        <f t="shared" si="198"/>
        <v>35.24799070655601</v>
      </c>
      <c r="BH158" s="43">
        <f t="shared" si="199"/>
        <v>79.125222541358269</v>
      </c>
      <c r="BI158" s="41" t="str">
        <f t="shared" si="152"/>
        <v>26.4980838386432+216.297512040016i</v>
      </c>
      <c r="BJ158" s="20">
        <f t="shared" si="200"/>
        <v>46.76572558649341</v>
      </c>
      <c r="BK158" s="43">
        <f t="shared" si="153"/>
        <v>83.015634899652341</v>
      </c>
      <c r="BL158">
        <f t="shared" si="201"/>
        <v>35.24799070655601</v>
      </c>
      <c r="BM158" s="43">
        <f t="shared" si="202"/>
        <v>79.125222541358269</v>
      </c>
    </row>
    <row r="159" spans="14:65" x14ac:dyDescent="0.25">
      <c r="N159" s="9">
        <v>41</v>
      </c>
      <c r="O159" s="34">
        <f t="shared" si="154"/>
        <v>257.03957827688663</v>
      </c>
      <c r="P159" s="33" t="str">
        <f t="shared" si="155"/>
        <v>19.6196196196196</v>
      </c>
      <c r="Q159" s="4" t="str">
        <f t="shared" si="156"/>
        <v>1+0.390928755690395i</v>
      </c>
      <c r="R159" s="4">
        <f t="shared" si="168"/>
        <v>1.0736970205908372</v>
      </c>
      <c r="S159" s="4">
        <f t="shared" si="169"/>
        <v>0.37266196186596789</v>
      </c>
      <c r="T159" s="4" t="str">
        <f t="shared" si="157"/>
        <v>1+0.00607250265398956i</v>
      </c>
      <c r="U159" s="4">
        <f t="shared" si="170"/>
        <v>1.0000184374742711</v>
      </c>
      <c r="V159" s="4">
        <f t="shared" si="171"/>
        <v>6.0724280138785862E-3</v>
      </c>
      <c r="W159" t="str">
        <f t="shared" si="158"/>
        <v>1-0.00353287222223462i</v>
      </c>
      <c r="X159" s="4">
        <f t="shared" si="172"/>
        <v>1.000006240573597</v>
      </c>
      <c r="Y159" s="4">
        <f t="shared" si="173"/>
        <v>-3.532857524199419E-3</v>
      </c>
      <c r="Z159" t="str">
        <f t="shared" si="159"/>
        <v>0.999999933930655+0.00236486140590399i</v>
      </c>
      <c r="AA159" s="4">
        <f t="shared" si="174"/>
        <v>1.0000027302116645</v>
      </c>
      <c r="AB159" s="4">
        <f t="shared" si="175"/>
        <v>2.3648571536121978E-3</v>
      </c>
      <c r="AC159" s="47" t="str">
        <f t="shared" si="176"/>
        <v>17.0202632816647-6.65028246181223i</v>
      </c>
      <c r="AD159" s="20">
        <f t="shared" si="177"/>
        <v>25.236367337787279</v>
      </c>
      <c r="AE159" s="43">
        <f t="shared" si="178"/>
        <v>-21.341947263203856</v>
      </c>
      <c r="AF159" t="str">
        <f t="shared" si="160"/>
        <v>72.2956529813786</v>
      </c>
      <c r="AG159" t="str">
        <f t="shared" si="161"/>
        <v>1+0.318806389334452i</v>
      </c>
      <c r="AH159">
        <f t="shared" si="179"/>
        <v>1.0495892119684112</v>
      </c>
      <c r="AI159">
        <f t="shared" si="180"/>
        <v>0.30861983142588273</v>
      </c>
      <c r="AJ159" t="str">
        <f t="shared" si="162"/>
        <v>1+0.00607250265398956i</v>
      </c>
      <c r="AK159">
        <f t="shared" si="181"/>
        <v>1.0000184374742711</v>
      </c>
      <c r="AL159">
        <f t="shared" si="182"/>
        <v>6.0724280138785862E-3</v>
      </c>
      <c r="AM159" t="str">
        <f t="shared" si="163"/>
        <v>1-0.000781871730342484i</v>
      </c>
      <c r="AN159">
        <f t="shared" si="183"/>
        <v>1.0000003056616547</v>
      </c>
      <c r="AO159">
        <f t="shared" si="184"/>
        <v>-7.8187157101704697E-4</v>
      </c>
      <c r="AP159" s="41" t="str">
        <f t="shared" si="185"/>
        <v>65.7366288426264-20.5747676710282i</v>
      </c>
      <c r="AQ159">
        <f t="shared" si="186"/>
        <v>36.762019328087213</v>
      </c>
      <c r="AR159" s="43">
        <f t="shared" si="187"/>
        <v>-17.379487259290315</v>
      </c>
      <c r="AS159" t="str">
        <f t="shared" si="164"/>
        <v>-0.0000166666666666667</v>
      </c>
      <c r="AT159" t="str">
        <f t="shared" si="165"/>
        <v>0.0000054910928254161i</v>
      </c>
      <c r="AU159">
        <f t="shared" si="188"/>
        <v>5.4910928254161002E-6</v>
      </c>
      <c r="AV159">
        <f t="shared" si="189"/>
        <v>1.5707963267948966</v>
      </c>
      <c r="AW159" t="str">
        <f t="shared" si="166"/>
        <v>1+0.0054863427451173i</v>
      </c>
      <c r="AX159">
        <f t="shared" si="190"/>
        <v>1.0000150498651093</v>
      </c>
      <c r="AY159">
        <f t="shared" si="191"/>
        <v>5.4862876998850252E-3</v>
      </c>
      <c r="AZ159" t="str">
        <f t="shared" si="167"/>
        <v>1+0.186535653333988i</v>
      </c>
      <c r="BA159">
        <f t="shared" si="192"/>
        <v>1.0172490107956544</v>
      </c>
      <c r="BB159">
        <f t="shared" si="193"/>
        <v>0.18441619224152278</v>
      </c>
      <c r="BC159" s="41" t="str">
        <f t="shared" si="194"/>
        <v>-0.549507681295866+3.03823331256611i</v>
      </c>
      <c r="BD159">
        <f t="shared" si="195"/>
        <v>9.7922140879193105</v>
      </c>
      <c r="BE159" s="43">
        <f t="shared" si="196"/>
        <v>100.25192835891453</v>
      </c>
      <c r="BF159" s="41" t="str">
        <f t="shared" si="197"/>
        <v>10.8523443024993+55.3659121865525i</v>
      </c>
      <c r="BG159" s="20">
        <f t="shared" si="198"/>
        <v>35.028581425706591</v>
      </c>
      <c r="BH159" s="43">
        <f t="shared" si="199"/>
        <v>78.909981095710734</v>
      </c>
      <c r="BI159" s="41" t="str">
        <f t="shared" si="152"/>
        <v>26.3881620449075+211.02920848157i</v>
      </c>
      <c r="BJ159" s="20">
        <f t="shared" si="200"/>
        <v>46.554233416006539</v>
      </c>
      <c r="BK159" s="43">
        <f t="shared" si="153"/>
        <v>82.872441099624254</v>
      </c>
      <c r="BL159">
        <f t="shared" si="201"/>
        <v>35.028581425706591</v>
      </c>
      <c r="BM159" s="43">
        <f t="shared" si="202"/>
        <v>78.909981095710734</v>
      </c>
    </row>
    <row r="160" spans="14:65" x14ac:dyDescent="0.25">
      <c r="N160" s="9">
        <v>42</v>
      </c>
      <c r="O160" s="34">
        <f t="shared" si="154"/>
        <v>263.02679918953817</v>
      </c>
      <c r="P160" s="33" t="str">
        <f t="shared" si="155"/>
        <v>19.6196196196196</v>
      </c>
      <c r="Q160" s="4" t="str">
        <f t="shared" si="156"/>
        <v>1+0.400034656179015i</v>
      </c>
      <c r="R160" s="4">
        <f t="shared" si="168"/>
        <v>1.0770458328893264</v>
      </c>
      <c r="S160" s="4">
        <f t="shared" si="169"/>
        <v>0.38053625277172198</v>
      </c>
      <c r="T160" s="4" t="str">
        <f t="shared" si="157"/>
        <v>1+0.00621394941143379i</v>
      </c>
      <c r="U160" s="4">
        <f t="shared" si="170"/>
        <v>1.0000193063972753</v>
      </c>
      <c r="V160" s="4">
        <f t="shared" si="171"/>
        <v>6.213869433197329E-3</v>
      </c>
      <c r="W160" t="str">
        <f t="shared" si="158"/>
        <v>1-0.00361516338763602i</v>
      </c>
      <c r="X160" s="4">
        <f t="shared" si="172"/>
        <v>1.0000065346818086</v>
      </c>
      <c r="Y160" s="4">
        <f t="shared" si="173"/>
        <v>-3.6151476384131114E-3</v>
      </c>
      <c r="Z160" t="str">
        <f t="shared" si="159"/>
        <v>0.999999930816903+0.00241994610437676i</v>
      </c>
      <c r="AA160" s="4">
        <f t="shared" si="174"/>
        <v>1.0000028588823928</v>
      </c>
      <c r="AB160" s="4">
        <f t="shared" si="175"/>
        <v>2.4199415479647158E-3</v>
      </c>
      <c r="AC160" s="47" t="str">
        <f t="shared" si="176"/>
        <v>16.9146589869924-6.76294211121479i</v>
      </c>
      <c r="AD160" s="20">
        <f t="shared" si="177"/>
        <v>25.209327586227474</v>
      </c>
      <c r="AE160" s="43">
        <f t="shared" si="178"/>
        <v>-21.792877881940047</v>
      </c>
      <c r="AF160" t="str">
        <f t="shared" si="160"/>
        <v>72.2956529813786</v>
      </c>
      <c r="AG160" t="str">
        <f t="shared" si="161"/>
        <v>1+0.326232344100274i</v>
      </c>
      <c r="AH160">
        <f t="shared" si="179"/>
        <v>1.0518685955656057</v>
      </c>
      <c r="AI160">
        <f t="shared" si="180"/>
        <v>0.31534610809409502</v>
      </c>
      <c r="AJ160" t="str">
        <f t="shared" si="162"/>
        <v>1+0.00621394941143379i</v>
      </c>
      <c r="AK160">
        <f t="shared" si="181"/>
        <v>1.0000193063972753</v>
      </c>
      <c r="AL160">
        <f t="shared" si="182"/>
        <v>6.213869433197329E-3</v>
      </c>
      <c r="AM160" t="str">
        <f t="shared" si="163"/>
        <v>1-0.00080008386252189i</v>
      </c>
      <c r="AN160">
        <f t="shared" si="183"/>
        <v>1.0000003200670422</v>
      </c>
      <c r="AO160">
        <f t="shared" si="184"/>
        <v>-8.0008369180161127E-4</v>
      </c>
      <c r="AP160" s="41" t="str">
        <f t="shared" si="185"/>
        <v>65.4572456273124-20.9628717343336i</v>
      </c>
      <c r="AQ160">
        <f t="shared" si="186"/>
        <v>36.743184383601495</v>
      </c>
      <c r="AR160" s="43">
        <f t="shared" si="187"/>
        <v>-17.757814005497845</v>
      </c>
      <c r="AS160" t="str">
        <f t="shared" si="164"/>
        <v>-0.0000166666666666667</v>
      </c>
      <c r="AT160" t="str">
        <f t="shared" si="165"/>
        <v>5.61899680821142E-06i</v>
      </c>
      <c r="AU160">
        <f t="shared" si="188"/>
        <v>5.6189968082114196E-6</v>
      </c>
      <c r="AV160">
        <f t="shared" si="189"/>
        <v>1.5707963267948966</v>
      </c>
      <c r="AW160" t="str">
        <f t="shared" si="166"/>
        <v>1+0.00561413608432888i</v>
      </c>
      <c r="AX160">
        <f t="shared" si="190"/>
        <v>1.0000157591378116</v>
      </c>
      <c r="AY160">
        <f t="shared" si="191"/>
        <v>5.6140771023500367E-3</v>
      </c>
      <c r="AZ160" t="str">
        <f t="shared" si="167"/>
        <v>1+0.190880626867182i</v>
      </c>
      <c r="BA160">
        <f t="shared" si="192"/>
        <v>1.0180547203923807</v>
      </c>
      <c r="BB160">
        <f t="shared" si="193"/>
        <v>0.18861175296696592</v>
      </c>
      <c r="BC160" s="41" t="str">
        <f t="shared" si="194"/>
        <v>-0.549506901806829+2.96921352297411i</v>
      </c>
      <c r="BD160">
        <f t="shared" si="195"/>
        <v>9.5990848419800834</v>
      </c>
      <c r="BE160" s="43">
        <f t="shared" si="196"/>
        <v>100.48499448774552</v>
      </c>
      <c r="BF160" s="41" t="str">
        <f t="shared" si="197"/>
        <v>10.7858973166488+53.939517567306i</v>
      </c>
      <c r="BG160" s="20">
        <f t="shared" si="198"/>
        <v>34.808412428207568</v>
      </c>
      <c r="BH160" s="43">
        <f t="shared" si="199"/>
        <v>78.692116605805495</v>
      </c>
      <c r="BI160" s="41" t="str">
        <f t="shared" si="152"/>
        <v>26.274033988482+205.875781592962i</v>
      </c>
      <c r="BJ160" s="20">
        <f t="shared" si="200"/>
        <v>46.342269225581596</v>
      </c>
      <c r="BK160" s="43">
        <f t="shared" si="153"/>
        <v>82.727180482247718</v>
      </c>
      <c r="BL160">
        <f t="shared" si="201"/>
        <v>34.808412428207568</v>
      </c>
      <c r="BM160" s="43">
        <f t="shared" si="202"/>
        <v>78.692116605805495</v>
      </c>
    </row>
    <row r="161" spans="14:65" x14ac:dyDescent="0.25">
      <c r="N161" s="9">
        <v>43</v>
      </c>
      <c r="O161" s="34">
        <f t="shared" si="154"/>
        <v>269.15348039269179</v>
      </c>
      <c r="P161" s="33" t="str">
        <f t="shared" si="155"/>
        <v>19.6196196196196</v>
      </c>
      <c r="Q161" s="4" t="str">
        <f t="shared" si="156"/>
        <v>1+0.409352660337428i</v>
      </c>
      <c r="R161" s="4">
        <f t="shared" si="168"/>
        <v>1.0805413460508255</v>
      </c>
      <c r="S161" s="4">
        <f t="shared" si="169"/>
        <v>0.38854292344921337</v>
      </c>
      <c r="T161" s="4" t="str">
        <f t="shared" si="157"/>
        <v>1+0.00635869088710733i</v>
      </c>
      <c r="U161" s="4">
        <f t="shared" si="170"/>
        <v>1.00002021627055</v>
      </c>
      <c r="V161" s="4">
        <f t="shared" si="171"/>
        <v>6.3586051889765313E-3</v>
      </c>
      <c r="W161" t="str">
        <f t="shared" si="158"/>
        <v>1-0.0036993713605179i</v>
      </c>
      <c r="X161" s="4">
        <f t="shared" si="172"/>
        <v>1.0000068426508206</v>
      </c>
      <c r="Y161" s="4">
        <f t="shared" si="173"/>
        <v>-3.6993544849277479E-3</v>
      </c>
      <c r="Z161" t="str">
        <f t="shared" si="159"/>
        <v>0.999999927556404+0.00247631389030586i</v>
      </c>
      <c r="AA161" s="4">
        <f t="shared" si="174"/>
        <v>1.0000029936171675</v>
      </c>
      <c r="AB161" s="4">
        <f t="shared" si="175"/>
        <v>2.4763090080231814E-3</v>
      </c>
      <c r="AC161" s="47" t="str">
        <f t="shared" si="176"/>
        <v>16.8054741566035-6.87577622139243i</v>
      </c>
      <c r="AD161" s="20">
        <f t="shared" si="177"/>
        <v>25.181192899879296</v>
      </c>
      <c r="AE161" s="43">
        <f t="shared" si="178"/>
        <v>-22.251387886235349</v>
      </c>
      <c r="AF161" t="str">
        <f t="shared" si="160"/>
        <v>72.2956529813786</v>
      </c>
      <c r="AG161" t="str">
        <f t="shared" si="161"/>
        <v>1+0.333831271573135i</v>
      </c>
      <c r="AH161">
        <f t="shared" si="179"/>
        <v>1.0542501211193367</v>
      </c>
      <c r="AI161">
        <f t="shared" si="180"/>
        <v>0.32219863184800268</v>
      </c>
      <c r="AJ161" t="str">
        <f t="shared" si="162"/>
        <v>1+0.00635869088710733i</v>
      </c>
      <c r="AK161">
        <f t="shared" si="181"/>
        <v>1.00002021627055</v>
      </c>
      <c r="AL161">
        <f t="shared" si="182"/>
        <v>6.3586051889765313E-3</v>
      </c>
      <c r="AM161" t="str">
        <f t="shared" si="163"/>
        <v>1-0.00081872020975557i</v>
      </c>
      <c r="AN161">
        <f t="shared" si="183"/>
        <v>1.0000003351513349</v>
      </c>
      <c r="AO161">
        <f t="shared" si="184"/>
        <v>-8.1872002682549885E-4</v>
      </c>
      <c r="AP161" s="41" t="str">
        <f t="shared" si="185"/>
        <v>65.1672765354179-21.3543589931599i</v>
      </c>
      <c r="AQ161">
        <f t="shared" si="186"/>
        <v>36.723549007319377</v>
      </c>
      <c r="AR161" s="43">
        <f t="shared" si="187"/>
        <v>-18.143209731001583</v>
      </c>
      <c r="AS161" t="str">
        <f t="shared" si="164"/>
        <v>-0.0000166666666666667</v>
      </c>
      <c r="AT161" t="str">
        <f t="shared" si="165"/>
        <v>5.74988005749067E-06i</v>
      </c>
      <c r="AU161">
        <f t="shared" si="188"/>
        <v>5.7498800574906699E-6</v>
      </c>
      <c r="AV161">
        <f t="shared" si="189"/>
        <v>1.5707963267948966</v>
      </c>
      <c r="AW161" t="str">
        <f t="shared" si="166"/>
        <v>1+0.00574490611280427i</v>
      </c>
      <c r="AX161">
        <f t="shared" si="190"/>
        <v>1.0000165018369671</v>
      </c>
      <c r="AY161">
        <f t="shared" si="191"/>
        <v>5.7448429125316041E-3</v>
      </c>
      <c r="AZ161" t="str">
        <f t="shared" si="167"/>
        <v>1+0.195326807835345i</v>
      </c>
      <c r="BA161">
        <f t="shared" si="192"/>
        <v>1.0188977190371691</v>
      </c>
      <c r="BB161">
        <f t="shared" si="193"/>
        <v>0.19289809431119739</v>
      </c>
      <c r="BC161" s="41" t="str">
        <f t="shared" si="194"/>
        <v>-0.54950608558398+2.90176804928161i</v>
      </c>
      <c r="BD161">
        <f t="shared" si="195"/>
        <v>9.4062677524722833</v>
      </c>
      <c r="BE161" s="43">
        <f t="shared" si="196"/>
        <v>100.72309142729443</v>
      </c>
      <c r="BF161" s="41" t="str">
        <f t="shared" si="197"/>
        <v>10.7171974330689+52.5438688374286i</v>
      </c>
      <c r="BG161" s="20">
        <f t="shared" si="198"/>
        <v>34.587460652351581</v>
      </c>
      <c r="BH161" s="43">
        <f t="shared" si="199"/>
        <v>78.471703541059057</v>
      </c>
      <c r="BI161" s="41" t="str">
        <f t="shared" si="152"/>
        <v>26.1555816020946+200.834671129661i</v>
      </c>
      <c r="BJ161" s="20">
        <f t="shared" si="200"/>
        <v>46.129816759791645</v>
      </c>
      <c r="BK161" s="43">
        <f t="shared" si="153"/>
        <v>82.57988169629283</v>
      </c>
      <c r="BL161">
        <f t="shared" si="201"/>
        <v>34.587460652351581</v>
      </c>
      <c r="BM161" s="43">
        <f t="shared" si="202"/>
        <v>78.471703541059057</v>
      </c>
    </row>
    <row r="162" spans="14:65" x14ac:dyDescent="0.25">
      <c r="N162" s="9">
        <v>44</v>
      </c>
      <c r="O162" s="34">
        <f t="shared" si="154"/>
        <v>275.42287033381683</v>
      </c>
      <c r="P162" s="33" t="str">
        <f t="shared" si="155"/>
        <v>19.6196196196196</v>
      </c>
      <c r="Q162" s="4" t="str">
        <f t="shared" si="156"/>
        <v>1+0.418887708694775i</v>
      </c>
      <c r="R162" s="4">
        <f t="shared" si="168"/>
        <v>1.0841895187168886</v>
      </c>
      <c r="S162" s="4">
        <f t="shared" si="169"/>
        <v>0.39668211184440205</v>
      </c>
      <c r="T162" s="4" t="str">
        <f t="shared" si="157"/>
        <v>1+0.00650680382485643i</v>
      </c>
      <c r="U162" s="4">
        <f t="shared" si="170"/>
        <v>1.0000211690239438</v>
      </c>
      <c r="V162" s="4">
        <f t="shared" si="171"/>
        <v>6.506711997759841E-3</v>
      </c>
      <c r="W162" t="str">
        <f t="shared" si="158"/>
        <v>1-0.00378554078906209i</v>
      </c>
      <c r="X162" s="4">
        <f t="shared" si="172"/>
        <v>1.0000071651338633</v>
      </c>
      <c r="Y162" s="4">
        <f t="shared" si="173"/>
        <v>-3.7855227065484521E-3</v>
      </c>
      <c r="Z162" t="str">
        <f t="shared" si="159"/>
        <v>0.999999924142242+0.00253399465063748i</v>
      </c>
      <c r="AA162" s="4">
        <f t="shared" si="174"/>
        <v>1.0000031347017766</v>
      </c>
      <c r="AB162" s="4">
        <f t="shared" si="175"/>
        <v>2.5339894191782233E-3</v>
      </c>
      <c r="AC162" s="47" t="str">
        <f t="shared" si="176"/>
        <v>16.6926452781342-6.98867104979903i</v>
      </c>
      <c r="AD162" s="20">
        <f t="shared" si="177"/>
        <v>25.151926450764279</v>
      </c>
      <c r="AE162" s="43">
        <f t="shared" si="178"/>
        <v>-22.717485054427847</v>
      </c>
      <c r="AF162" t="str">
        <f t="shared" si="160"/>
        <v>72.2956529813786</v>
      </c>
      <c r="AG162" t="str">
        <f t="shared" si="161"/>
        <v>1+0.341607200804963i</v>
      </c>
      <c r="AH162">
        <f t="shared" si="179"/>
        <v>1.0567381320089677</v>
      </c>
      <c r="AI162">
        <f t="shared" si="180"/>
        <v>0.32917846091616393</v>
      </c>
      <c r="AJ162" t="str">
        <f t="shared" si="162"/>
        <v>1+0.00650680382485643i</v>
      </c>
      <c r="AK162">
        <f t="shared" si="181"/>
        <v>1.0000211690239438</v>
      </c>
      <c r="AL162">
        <f t="shared" si="182"/>
        <v>6.506711997759841E-3</v>
      </c>
      <c r="AM162" t="str">
        <f t="shared" si="163"/>
        <v>1-0.000837790653281506i</v>
      </c>
      <c r="AN162">
        <f t="shared" si="183"/>
        <v>1.0000003509465278</v>
      </c>
      <c r="AO162">
        <f t="shared" si="184"/>
        <v>-8.3779045726840699E-4</v>
      </c>
      <c r="AP162" s="41" t="str">
        <f t="shared" si="185"/>
        <v>64.8664335231707-21.7489957730525i</v>
      </c>
      <c r="AQ162">
        <f t="shared" si="186"/>
        <v>36.703083030212291</v>
      </c>
      <c r="AR162" s="43">
        <f t="shared" si="187"/>
        <v>-18.535731238447347</v>
      </c>
      <c r="AS162" t="str">
        <f t="shared" si="164"/>
        <v>-0.0000166666666666667</v>
      </c>
      <c r="AT162" t="str">
        <f t="shared" si="165"/>
        <v>5.88381196928507E-06i</v>
      </c>
      <c r="AU162">
        <f t="shared" si="188"/>
        <v>5.8838119692850698E-6</v>
      </c>
      <c r="AV162">
        <f t="shared" si="189"/>
        <v>1.5707963267948966</v>
      </c>
      <c r="AW162" t="str">
        <f t="shared" si="166"/>
        <v>1+0.00587872216654349i</v>
      </c>
      <c r="AX162">
        <f t="shared" si="190"/>
        <v>1.0000172795378646</v>
      </c>
      <c r="AY162">
        <f t="shared" si="191"/>
        <v>5.8786544462944307E-3</v>
      </c>
      <c r="AZ162" t="str">
        <f t="shared" si="167"/>
        <v>1+0.199876553662478i</v>
      </c>
      <c r="BA162">
        <f t="shared" si="192"/>
        <v>1.0197797000842825</v>
      </c>
      <c r="BB162">
        <f t="shared" si="193"/>
        <v>0.1972768586310458</v>
      </c>
      <c r="BC162" s="41" t="str">
        <f t="shared" si="194"/>
        <v>-0.549505230896328+2.83586113097619i</v>
      </c>
      <c r="BD162">
        <f t="shared" si="195"/>
        <v>9.2137764489467013</v>
      </c>
      <c r="BE162" s="43">
        <f t="shared" si="196"/>
        <v>100.96630930616942</v>
      </c>
      <c r="BF162" s="41" t="str">
        <f t="shared" si="197"/>
        <v>10.646204689472+51.1783352163123i</v>
      </c>
      <c r="BG162" s="20">
        <f t="shared" si="198"/>
        <v>34.365702899710982</v>
      </c>
      <c r="BH162" s="43">
        <f t="shared" si="199"/>
        <v>78.248824251741581</v>
      </c>
      <c r="BI162" s="41" t="str">
        <f t="shared" si="152"/>
        <v>26.0326872199938+195.903384477445i</v>
      </c>
      <c r="BJ162" s="20">
        <f t="shared" si="200"/>
        <v>45.916859479158987</v>
      </c>
      <c r="BK162" s="43">
        <f t="shared" si="153"/>
        <v>82.430578067722081</v>
      </c>
      <c r="BL162">
        <f t="shared" si="201"/>
        <v>34.365702899710982</v>
      </c>
      <c r="BM162" s="43">
        <f t="shared" si="202"/>
        <v>78.248824251741581</v>
      </c>
    </row>
    <row r="163" spans="14:65" x14ac:dyDescent="0.25">
      <c r="N163" s="9">
        <v>45</v>
      </c>
      <c r="O163" s="34">
        <f t="shared" si="154"/>
        <v>281.83829312644554</v>
      </c>
      <c r="P163" s="33" t="str">
        <f t="shared" si="155"/>
        <v>19.6196196196196</v>
      </c>
      <c r="Q163" s="4" t="str">
        <f t="shared" si="156"/>
        <v>1+0.428644856859905i</v>
      </c>
      <c r="R163" s="4">
        <f t="shared" si="168"/>
        <v>1.0879965134652079</v>
      </c>
      <c r="S163" s="4">
        <f t="shared" si="169"/>
        <v>0.40495381887951165</v>
      </c>
      <c r="T163" s="4" t="str">
        <f t="shared" si="157"/>
        <v>1+0.00665836675612119i</v>
      </c>
      <c r="U163" s="4">
        <f t="shared" si="170"/>
        <v>1.0000221666782487</v>
      </c>
      <c r="V163" s="4">
        <f t="shared" si="171"/>
        <v>6.6582683617322459E-3</v>
      </c>
      <c r="W163" t="str">
        <f t="shared" si="158"/>
        <v>1-0.0038737173614402i</v>
      </c>
      <c r="X163" s="4">
        <f t="shared" si="172"/>
        <v>1.000007502814952</v>
      </c>
      <c r="Y163" s="4">
        <f t="shared" si="173"/>
        <v>-3.873697985685601E-3</v>
      </c>
      <c r="Z163" t="str">
        <f t="shared" si="159"/>
        <v>0.999999920567177+0.00259301896847425i</v>
      </c>
      <c r="AA163" s="4">
        <f t="shared" si="174"/>
        <v>1.0000032824354783</v>
      </c>
      <c r="AB163" s="4">
        <f t="shared" si="175"/>
        <v>2.5930133628656528E-3</v>
      </c>
      <c r="AC163" s="47" t="str">
        <f t="shared" si="176"/>
        <v>16.5761125134291-7.10150700073125i</v>
      </c>
      <c r="AD163" s="20">
        <f t="shared" si="177"/>
        <v>25.121490782393945</v>
      </c>
      <c r="AE163" s="43">
        <f t="shared" si="178"/>
        <v>-23.191169311109739</v>
      </c>
      <c r="AF163" t="str">
        <f t="shared" si="160"/>
        <v>72.2956529813786</v>
      </c>
      <c r="AG163" t="str">
        <f t="shared" si="161"/>
        <v>1+0.349564254696363i</v>
      </c>
      <c r="AH163">
        <f t="shared" si="179"/>
        <v>1.0593371362136907</v>
      </c>
      <c r="AI163">
        <f t="shared" si="180"/>
        <v>0.33628657484931068</v>
      </c>
      <c r="AJ163" t="str">
        <f t="shared" si="162"/>
        <v>1+0.00665836675612119i</v>
      </c>
      <c r="AK163">
        <f t="shared" si="181"/>
        <v>1.0000221666782487</v>
      </c>
      <c r="AL163">
        <f t="shared" si="182"/>
        <v>6.6582683617322459E-3</v>
      </c>
      <c r="AM163" t="str">
        <f t="shared" si="163"/>
        <v>1-0.00085730530450128i</v>
      </c>
      <c r="AN163">
        <f t="shared" si="183"/>
        <v>1.0000003674861251</v>
      </c>
      <c r="AO163">
        <f t="shared" si="184"/>
        <v>-8.5730509446946452E-4</v>
      </c>
      <c r="AP163" s="41" t="str">
        <f t="shared" si="185"/>
        <v>64.5544304633193-22.1465298466284i</v>
      </c>
      <c r="AQ163">
        <f t="shared" si="186"/>
        <v>36.681755476188023</v>
      </c>
      <c r="AR163" s="43">
        <f t="shared" si="187"/>
        <v>-18.935430733451152</v>
      </c>
      <c r="AS163" t="str">
        <f t="shared" si="164"/>
        <v>-0.0000166666666666667</v>
      </c>
      <c r="AT163" t="str">
        <f t="shared" si="165"/>
        <v>6.02086355606703E-06i</v>
      </c>
      <c r="AU163">
        <f t="shared" si="188"/>
        <v>6.0208635560670297E-6</v>
      </c>
      <c r="AV163">
        <f t="shared" si="189"/>
        <v>1.5707963267948966</v>
      </c>
      <c r="AW163" t="str">
        <f t="shared" si="166"/>
        <v>1+0.00601565519658949i</v>
      </c>
      <c r="AX163">
        <f t="shared" si="190"/>
        <v>1.0000180938900276</v>
      </c>
      <c r="AY163">
        <f t="shared" si="191"/>
        <v>6.0155826331061779E-3</v>
      </c>
      <c r="AZ163" t="str">
        <f t="shared" si="167"/>
        <v>1+0.204532276684042i</v>
      </c>
      <c r="BA163">
        <f t="shared" si="192"/>
        <v>1.020702430782624</v>
      </c>
      <c r="BB163">
        <f t="shared" si="193"/>
        <v>0.20174969563129369</v>
      </c>
      <c r="BC163" s="41" t="str">
        <f t="shared" si="194"/>
        <v>-0.54950433593134+2.77145782330577i</v>
      </c>
      <c r="BD163">
        <f t="shared" si="195"/>
        <v>9.0216251049272138</v>
      </c>
      <c r="BE163" s="43">
        <f t="shared" si="196"/>
        <v>101.21473858153291</v>
      </c>
      <c r="BF163" s="41" t="str">
        <f t="shared" si="197"/>
        <v>10.5728814354223+49.8423055938883i</v>
      </c>
      <c r="BG163" s="20">
        <f t="shared" si="198"/>
        <v>34.143115887321144</v>
      </c>
      <c r="BH163" s="43">
        <f t="shared" si="199"/>
        <v>78.023569270423167</v>
      </c>
      <c r="BI163" s="41" t="str">
        <f t="shared" si="152"/>
        <v>25.9052339593409+191.07949551317i</v>
      </c>
      <c r="BJ163" s="20">
        <f t="shared" si="200"/>
        <v>45.703380581115248</v>
      </c>
      <c r="BK163" s="43">
        <f t="shared" si="153"/>
        <v>82.279307848081785</v>
      </c>
      <c r="BL163">
        <f t="shared" si="201"/>
        <v>34.143115887321144</v>
      </c>
      <c r="BM163" s="43">
        <f t="shared" si="202"/>
        <v>78.023569270423167</v>
      </c>
    </row>
    <row r="164" spans="14:65" x14ac:dyDescent="0.25">
      <c r="N164" s="9">
        <v>46</v>
      </c>
      <c r="O164" s="34">
        <f t="shared" si="154"/>
        <v>288.40315031266073</v>
      </c>
      <c r="P164" s="33" t="str">
        <f t="shared" si="155"/>
        <v>19.6196196196196</v>
      </c>
      <c r="Q164" s="4" t="str">
        <f t="shared" si="156"/>
        <v>1+0.438629278201928i</v>
      </c>
      <c r="R164" s="4">
        <f t="shared" si="168"/>
        <v>1.091968700877431</v>
      </c>
      <c r="S164" s="4">
        <f t="shared" si="169"/>
        <v>0.41335790159491259</v>
      </c>
      <c r="T164" s="4" t="str">
        <f t="shared" si="157"/>
        <v>1+0.00681346004157395i</v>
      </c>
      <c r="U164" s="4">
        <f t="shared" si="170"/>
        <v>1.0000232113494858</v>
      </c>
      <c r="V164" s="4">
        <f t="shared" si="171"/>
        <v>6.813354610218837E-3</v>
      </c>
      <c r="W164" t="str">
        <f t="shared" si="158"/>
        <v>1-0.00396394783003805i</v>
      </c>
      <c r="X164" s="4">
        <f t="shared" si="172"/>
        <v>1.0000078564103381</v>
      </c>
      <c r="Y164" s="4">
        <f t="shared" si="173"/>
        <v>-3.9639270685517536E-3</v>
      </c>
      <c r="Z164" t="str">
        <f t="shared" si="159"/>
        <v>0.999999916823623+0.00265341813929077i</v>
      </c>
      <c r="AA164" s="4">
        <f t="shared" si="174"/>
        <v>1.0000034371316304</v>
      </c>
      <c r="AB164" s="4">
        <f t="shared" si="175"/>
        <v>2.6534121327740569E-3</v>
      </c>
      <c r="AC164" s="47" t="str">
        <f t="shared" si="176"/>
        <v>16.4558201421881-7.21415865719053i</v>
      </c>
      <c r="AD164" s="20">
        <f t="shared" si="177"/>
        <v>25.089847849541279</v>
      </c>
      <c r="AE164" s="43">
        <f t="shared" si="178"/>
        <v>-23.672432334123439</v>
      </c>
      <c r="AF164" t="str">
        <f t="shared" si="160"/>
        <v>72.2956529813786</v>
      </c>
      <c r="AG164" t="str">
        <f t="shared" si="161"/>
        <v>1+0.357706652182633i</v>
      </c>
      <c r="AH164">
        <f t="shared" si="179"/>
        <v>1.0620518108904609</v>
      </c>
      <c r="AI164">
        <f t="shared" si="180"/>
        <v>0.34352386842344135</v>
      </c>
      <c r="AJ164" t="str">
        <f t="shared" si="162"/>
        <v>1+0.00681346004157395i</v>
      </c>
      <c r="AK164">
        <f t="shared" si="181"/>
        <v>1.0000232113494858</v>
      </c>
      <c r="AL164">
        <f t="shared" si="182"/>
        <v>6.813354610218837E-3</v>
      </c>
      <c r="AM164" t="str">
        <f t="shared" si="163"/>
        <v>1-0.000877274510341278i</v>
      </c>
      <c r="AN164">
        <f t="shared" si="183"/>
        <v>1.0000003848052093</v>
      </c>
      <c r="AO164">
        <f t="shared" si="184"/>
        <v>-8.7727428528813756E-4</v>
      </c>
      <c r="AP164" s="41" t="str">
        <f t="shared" si="185"/>
        <v>64.2309841511815-22.5466898979158i</v>
      </c>
      <c r="AQ164">
        <f t="shared" si="186"/>
        <v>36.659534568918318</v>
      </c>
      <c r="AR164" s="43">
        <f t="shared" si="187"/>
        <v>-19.342355473201412</v>
      </c>
      <c r="AS164" t="str">
        <f t="shared" si="164"/>
        <v>-0.0000166666666666667</v>
      </c>
      <c r="AT164" t="str">
        <f t="shared" si="165"/>
        <v>6.16110748440197E-06i</v>
      </c>
      <c r="AU164">
        <f t="shared" si="188"/>
        <v>6.1611074844019703E-6</v>
      </c>
      <c r="AV164">
        <f t="shared" si="189"/>
        <v>1.5707963267948966</v>
      </c>
      <c r="AW164" t="str">
        <f t="shared" si="166"/>
        <v>1+0.00615577780664732i</v>
      </c>
      <c r="AX164">
        <f t="shared" si="190"/>
        <v>1.0000189466207152</v>
      </c>
      <c r="AY164">
        <f t="shared" si="191"/>
        <v>6.1557000535536572E-3</v>
      </c>
      <c r="AZ164" t="str">
        <f t="shared" si="167"/>
        <v>1+0.209296445426009i</v>
      </c>
      <c r="BA164">
        <f t="shared" si="192"/>
        <v>1.0216677552257203</v>
      </c>
      <c r="BB164">
        <f t="shared" si="193"/>
        <v>0.20631826065141246</v>
      </c>
      <c r="BC164" s="41" t="str">
        <f t="shared" si="194"/>
        <v>-0.549503398791076+2.70852397875027i</v>
      </c>
      <c r="BD164">
        <f t="shared" si="195"/>
        <v>8.8298284549003885</v>
      </c>
      <c r="BE164" s="43">
        <f t="shared" si="196"/>
        <v>101.46846993878893</v>
      </c>
      <c r="BF164" s="41" t="str">
        <f t="shared" si="197"/>
        <v>10.4971926114824+48.5351881466624i</v>
      </c>
      <c r="BG164" s="20">
        <f t="shared" si="198"/>
        <v>33.919676304441666</v>
      </c>
      <c r="BH164" s="43">
        <f t="shared" si="199"/>
        <v>77.796037604665486</v>
      </c>
      <c r="BI164" s="41" t="str">
        <f t="shared" si="152"/>
        <v>25.7731061311815+186.360643482597i</v>
      </c>
      <c r="BJ164" s="20">
        <f t="shared" si="200"/>
        <v>45.489363023818711</v>
      </c>
      <c r="BK164" s="43">
        <f t="shared" si="153"/>
        <v>82.126114465587534</v>
      </c>
      <c r="BL164">
        <f t="shared" si="201"/>
        <v>33.919676304441666</v>
      </c>
      <c r="BM164" s="43">
        <f t="shared" si="202"/>
        <v>77.796037604665486</v>
      </c>
    </row>
    <row r="165" spans="14:65" x14ac:dyDescent="0.25">
      <c r="N165" s="9">
        <v>47</v>
      </c>
      <c r="O165" s="34">
        <f t="shared" si="154"/>
        <v>295.12092266663871</v>
      </c>
      <c r="P165" s="33" t="str">
        <f t="shared" si="155"/>
        <v>19.6196196196196</v>
      </c>
      <c r="Q165" s="4" t="str">
        <f t="shared" si="156"/>
        <v>1+0.448846266593197i</v>
      </c>
      <c r="R165" s="4">
        <f t="shared" si="168"/>
        <v>1.0961126634770038</v>
      </c>
      <c r="S165" s="4">
        <f t="shared" si="169"/>
        <v>0.42189406634706544</v>
      </c>
      <c r="T165" s="4" t="str">
        <f t="shared" si="157"/>
        <v>1+0.00697216591372756i</v>
      </c>
      <c r="U165" s="4">
        <f t="shared" si="170"/>
        <v>1.0000243052533917</v>
      </c>
      <c r="V165" s="4">
        <f t="shared" si="171"/>
        <v>6.9720529421434729E-3</v>
      </c>
      <c r="W165" t="str">
        <f t="shared" si="158"/>
        <v>1-0.00405628003624443i</v>
      </c>
      <c r="X165" s="4">
        <f t="shared" si="172"/>
        <v>1.0000082266700272</v>
      </c>
      <c r="Y165" s="4">
        <f t="shared" si="173"/>
        <v>-4.0562577899209418E-3</v>
      </c>
      <c r="Z165" t="str">
        <f t="shared" si="159"/>
        <v>0.999999912903641+0.00271522418752688i</v>
      </c>
      <c r="AA165" s="4">
        <f t="shared" si="174"/>
        <v>1.0000035991183622</v>
      </c>
      <c r="AB165" s="4">
        <f t="shared" si="175"/>
        <v>2.7152177514295156E-3</v>
      </c>
      <c r="AC165" s="47" t="str">
        <f t="shared" si="176"/>
        <v>16.3317170190924-7.32649484493648i</v>
      </c>
      <c r="AD165" s="20">
        <f t="shared" si="177"/>
        <v>25.056959062609732</v>
      </c>
      <c r="AE165" s="43">
        <f t="shared" si="178"/>
        <v>-24.16125716476807</v>
      </c>
      <c r="AF165" t="str">
        <f t="shared" si="160"/>
        <v>72.2956529813786</v>
      </c>
      <c r="AG165" t="str">
        <f t="shared" si="161"/>
        <v>1+0.366038710470697i</v>
      </c>
      <c r="AH165">
        <f t="shared" si="179"/>
        <v>1.0648870069463008</v>
      </c>
      <c r="AI165">
        <f t="shared" si="180"/>
        <v>0.35089114537596555</v>
      </c>
      <c r="AJ165" t="str">
        <f t="shared" si="162"/>
        <v>1+0.00697216591372756i</v>
      </c>
      <c r="AK165">
        <f t="shared" si="181"/>
        <v>1.0000243052533917</v>
      </c>
      <c r="AL165">
        <f t="shared" si="182"/>
        <v>6.9720529421434729E-3</v>
      </c>
      <c r="AM165" t="str">
        <f t="shared" si="163"/>
        <v>1-0.000897708858738759i</v>
      </c>
      <c r="AN165">
        <f t="shared" si="183"/>
        <v>1.0000004029405163</v>
      </c>
      <c r="AO165">
        <f t="shared" si="184"/>
        <v>-8.9770861758997969E-4</v>
      </c>
      <c r="AP165" s="41" t="str">
        <f t="shared" si="185"/>
        <v>63.8958153839519-22.9491850283177i</v>
      </c>
      <c r="AQ165">
        <f t="shared" si="186"/>
        <v>36.63638774160119</v>
      </c>
      <c r="AR165" s="43">
        <f t="shared" si="187"/>
        <v>-19.75654740544806</v>
      </c>
      <c r="AS165" t="str">
        <f t="shared" si="164"/>
        <v>-0.0000166666666666667</v>
      </c>
      <c r="AT165" t="str">
        <f t="shared" si="165"/>
        <v>6.30461811347705E-06i</v>
      </c>
      <c r="AU165">
        <f t="shared" si="188"/>
        <v>6.3046181134770503E-6</v>
      </c>
      <c r="AV165">
        <f t="shared" si="189"/>
        <v>1.5707963267948966</v>
      </c>
      <c r="AW165" t="str">
        <f t="shared" si="166"/>
        <v>1+0.00629916429157959i</v>
      </c>
      <c r="AX165">
        <f t="shared" si="190"/>
        <v>1.0000198395385824</v>
      </c>
      <c r="AY165">
        <f t="shared" si="191"/>
        <v>6.2990809777279579E-3</v>
      </c>
      <c r="AZ165" t="str">
        <f t="shared" si="167"/>
        <v>1+0.214171585913706i</v>
      </c>
      <c r="BA165">
        <f t="shared" si="192"/>
        <v>1.0226775973946003</v>
      </c>
      <c r="BB165">
        <f t="shared" si="193"/>
        <v>0.21098421281356755</v>
      </c>
      <c r="BC165" s="41" t="str">
        <f t="shared" si="194"/>
        <v>-0.549502417488174+2.64702622891599i</v>
      </c>
      <c r="BD165">
        <f t="shared" si="195"/>
        <v>8.6384018113874497</v>
      </c>
      <c r="BE165" s="43">
        <f t="shared" si="196"/>
        <v>101.72759418327243</v>
      </c>
      <c r="BF165" s="41" t="str">
        <f t="shared" si="197"/>
        <v>10.4191060368406+47.2564099417785i</v>
      </c>
      <c r="BG165" s="20">
        <f t="shared" si="198"/>
        <v>33.695360873997181</v>
      </c>
      <c r="BH165" s="43">
        <f t="shared" si="199"/>
        <v>77.566337018504399</v>
      </c>
      <c r="BI165" s="41" t="str">
        <f t="shared" si="152"/>
        <v>25.6361896813435+181.744531891738i</v>
      </c>
      <c r="BJ165" s="20">
        <f t="shared" si="200"/>
        <v>45.274789552988622</v>
      </c>
      <c r="BK165" s="43">
        <f t="shared" si="153"/>
        <v>81.971046777824341</v>
      </c>
      <c r="BL165">
        <f t="shared" si="201"/>
        <v>33.695360873997181</v>
      </c>
      <c r="BM165" s="43">
        <f t="shared" si="202"/>
        <v>77.566337018504399</v>
      </c>
    </row>
    <row r="166" spans="14:65" x14ac:dyDescent="0.25">
      <c r="N166" s="9">
        <v>48</v>
      </c>
      <c r="O166" s="34">
        <f t="shared" si="154"/>
        <v>301.99517204020168</v>
      </c>
      <c r="P166" s="33" t="str">
        <f t="shared" si="155"/>
        <v>19.6196196196196</v>
      </c>
      <c r="Q166" s="4" t="str">
        <f t="shared" si="156"/>
        <v>1+0.459301239216198i</v>
      </c>
      <c r="R166" s="4">
        <f t="shared" si="168"/>
        <v>1.1004351995213235</v>
      </c>
      <c r="S166" s="4">
        <f t="shared" si="169"/>
        <v>0.43056186210177999</v>
      </c>
      <c r="T166" s="4" t="str">
        <f t="shared" si="157"/>
        <v>1+0.00713456852053615i</v>
      </c>
      <c r="U166" s="4">
        <f t="shared" si="170"/>
        <v>1.0000254507101178</v>
      </c>
      <c r="V166" s="4">
        <f t="shared" si="171"/>
        <v>7.1344474694692451E-3</v>
      </c>
      <c r="W166" t="str">
        <f t="shared" si="158"/>
        <v>1-0.00415076293581725i</v>
      </c>
      <c r="X166" s="4">
        <f t="shared" si="172"/>
        <v>1.0000086143793709</v>
      </c>
      <c r="Y166" s="4">
        <f t="shared" si="173"/>
        <v>-4.150739098463252E-3</v>
      </c>
      <c r="Z166" t="str">
        <f t="shared" si="159"/>
        <v>0.999999908798916+0.00277846988356746i</v>
      </c>
      <c r="AA166" s="4">
        <f t="shared" si="174"/>
        <v>1.0000037687392656</v>
      </c>
      <c r="AB166" s="4">
        <f t="shared" si="175"/>
        <v>2.7784629871662873E-3</v>
      </c>
      <c r="AC166" s="47" t="str">
        <f t="shared" si="176"/>
        <v>16.2037570423093-7.43837873116064i</v>
      </c>
      <c r="AD166" s="20">
        <f t="shared" si="177"/>
        <v>25.022785336726887</v>
      </c>
      <c r="AE166" s="43">
        <f t="shared" si="178"/>
        <v>-24.657617823467174</v>
      </c>
      <c r="AF166" t="str">
        <f t="shared" si="160"/>
        <v>72.2956529813786</v>
      </c>
      <c r="AG166" t="str">
        <f t="shared" si="161"/>
        <v>1+0.374564847328148i</v>
      </c>
      <c r="AH166">
        <f t="shared" si="179"/>
        <v>1.0678477535931603</v>
      </c>
      <c r="AI166">
        <f t="shared" si="180"/>
        <v>0.3583891119895648</v>
      </c>
      <c r="AJ166" t="str">
        <f t="shared" si="162"/>
        <v>1+0.00713456852053615i</v>
      </c>
      <c r="AK166">
        <f t="shared" si="181"/>
        <v>1.0000254507101178</v>
      </c>
      <c r="AL166">
        <f t="shared" si="182"/>
        <v>7.1344474694692451E-3</v>
      </c>
      <c r="AM166" t="str">
        <f t="shared" si="163"/>
        <v>1-0.000918619184255725i</v>
      </c>
      <c r="AN166">
        <f t="shared" si="183"/>
        <v>1.0000004219305139</v>
      </c>
      <c r="AO166">
        <f t="shared" si="184"/>
        <v>-9.1861892586015835E-4</v>
      </c>
      <c r="AP166" s="41" t="str">
        <f t="shared" si="185"/>
        <v>63.5486501135845-23.3537043115391i</v>
      </c>
      <c r="AQ166">
        <f t="shared" si="186"/>
        <v>36.612281649865224</v>
      </c>
      <c r="AR166" s="43">
        <f t="shared" si="187"/>
        <v>-20.178042798717716</v>
      </c>
      <c r="AS166" t="str">
        <f t="shared" si="164"/>
        <v>-0.0000166666666666667</v>
      </c>
      <c r="AT166" t="str">
        <f t="shared" si="165"/>
        <v>6.45147153452737E-06i</v>
      </c>
      <c r="AU166">
        <f t="shared" si="188"/>
        <v>6.4514715345273698E-6</v>
      </c>
      <c r="AV166">
        <f t="shared" si="189"/>
        <v>1.5707963267948966</v>
      </c>
      <c r="AW166" t="str">
        <f t="shared" si="166"/>
        <v>1+0.00644589067679856i</v>
      </c>
      <c r="AX166">
        <f t="shared" si="190"/>
        <v>1.000020774537518</v>
      </c>
      <c r="AY166">
        <f t="shared" si="191"/>
        <v>6.4458014044983048E-3</v>
      </c>
      <c r="AZ166" t="str">
        <f t="shared" si="167"/>
        <v>1+0.219160283011151i</v>
      </c>
      <c r="BA166">
        <f t="shared" si="192"/>
        <v>1.0237339642942045</v>
      </c>
      <c r="BB166">
        <f t="shared" si="193"/>
        <v>0.21574921302536956</v>
      </c>
      <c r="BC166" s="41" t="str">
        <f t="shared" si="194"/>
        <v>-0.549501389941653+2.58693196684304i</v>
      </c>
      <c r="BD166">
        <f t="shared" si="195"/>
        <v>8.4473610820483476</v>
      </c>
      <c r="BE166" s="43">
        <f t="shared" si="196"/>
        <v>101.99220212356539</v>
      </c>
      <c r="BF166" s="41" t="str">
        <f t="shared" si="197"/>
        <v>10.338592704099+46.0054165273932i</v>
      </c>
      <c r="BG166" s="20">
        <f t="shared" si="198"/>
        <v>33.470146418775244</v>
      </c>
      <c r="BH166" s="43">
        <f t="shared" si="199"/>
        <v>77.334584300098257</v>
      </c>
      <c r="BI166" s="41" t="str">
        <f t="shared" si="152"/>
        <v>25.4943726613902+177.228927408032i</v>
      </c>
      <c r="BJ166" s="20">
        <f t="shared" si="200"/>
        <v>45.059642731913542</v>
      </c>
      <c r="BK166" s="43">
        <f t="shared" si="153"/>
        <v>81.814159324847637</v>
      </c>
      <c r="BL166">
        <f t="shared" si="201"/>
        <v>33.470146418775244</v>
      </c>
      <c r="BM166" s="43">
        <f t="shared" si="202"/>
        <v>77.334584300098257</v>
      </c>
    </row>
    <row r="167" spans="14:65" x14ac:dyDescent="0.25">
      <c r="N167" s="9">
        <v>49</v>
      </c>
      <c r="O167" s="34">
        <f t="shared" si="154"/>
        <v>309.02954325135937</v>
      </c>
      <c r="P167" s="33" t="str">
        <f t="shared" si="155"/>
        <v>19.6196196196196</v>
      </c>
      <c r="Q167" s="4" t="str">
        <f t="shared" si="156"/>
        <v>1+0.469999739435801i</v>
      </c>
      <c r="R167" s="4">
        <f t="shared" si="168"/>
        <v>1.1049433266325113</v>
      </c>
      <c r="S167" s="4">
        <f t="shared" si="169"/>
        <v>0.43936067386479855</v>
      </c>
      <c r="T167" s="4" t="str">
        <f t="shared" si="157"/>
        <v>1+0.0073007539700115i</v>
      </c>
      <c r="U167" s="4">
        <f t="shared" si="170"/>
        <v>1.0000266501491502</v>
      </c>
      <c r="V167" s="4">
        <f t="shared" si="171"/>
        <v>7.3006242616430817E-3</v>
      </c>
      <c r="W167" t="str">
        <f t="shared" si="158"/>
        <v>1-0.00424744662484048i</v>
      </c>
      <c r="X167" s="4">
        <f t="shared" si="172"/>
        <v>1.0000090203607321</v>
      </c>
      <c r="Y167" s="4">
        <f t="shared" si="173"/>
        <v>-4.2474210826679293E-3</v>
      </c>
      <c r="Z167" t="str">
        <f t="shared" si="159"/>
        <v>0.999999904500741+0.0028431887611177i</v>
      </c>
      <c r="AA167" s="4">
        <f t="shared" si="174"/>
        <v>1.0000039463541246</v>
      </c>
      <c r="AB167" s="4">
        <f t="shared" si="175"/>
        <v>2.8431813714922824E-3</v>
      </c>
      <c r="AC167" s="47" t="str">
        <f t="shared" si="176"/>
        <v>16.0718996309496-7.54966796011893i</v>
      </c>
      <c r="AD167" s="20">
        <f t="shared" si="177"/>
        <v>24.987287145667153</v>
      </c>
      <c r="AE167" s="43">
        <f t="shared" si="178"/>
        <v>-25.161478933302284</v>
      </c>
      <c r="AF167" t="str">
        <f t="shared" si="160"/>
        <v>72.2956529813786</v>
      </c>
      <c r="AG167" t="str">
        <f t="shared" si="161"/>
        <v>1+0.383289583425604i</v>
      </c>
      <c r="AH167">
        <f t="shared" si="179"/>
        <v>1.0709392628728172</v>
      </c>
      <c r="AI167">
        <f t="shared" si="180"/>
        <v>0.36601837054086289</v>
      </c>
      <c r="AJ167" t="str">
        <f t="shared" si="162"/>
        <v>1+0.0073007539700115i</v>
      </c>
      <c r="AK167">
        <f t="shared" si="181"/>
        <v>1.0000266501491502</v>
      </c>
      <c r="AL167">
        <f t="shared" si="182"/>
        <v>7.3006242616430817E-3</v>
      </c>
      <c r="AM167" t="str">
        <f t="shared" si="163"/>
        <v>1-0.000940016573823546i</v>
      </c>
      <c r="AN167">
        <f t="shared" si="183"/>
        <v>1.000000441815482</v>
      </c>
      <c r="AO167">
        <f t="shared" si="184"/>
        <v>-9.4001629694771458E-4</v>
      </c>
      <c r="AP167" s="41" t="str">
        <f t="shared" si="185"/>
        <v>63.1892206729503-23.7599164052232i</v>
      </c>
      <c r="AQ167">
        <f t="shared" si="186"/>
        <v>36.58718218802197</v>
      </c>
      <c r="AR167" s="43">
        <f t="shared" si="187"/>
        <v>-20.606871864732604</v>
      </c>
      <c r="AS167" t="str">
        <f t="shared" si="164"/>
        <v>-0.0000166666666666667</v>
      </c>
      <c r="AT167" t="str">
        <f t="shared" si="165"/>
        <v>6.60174561118062E-06i</v>
      </c>
      <c r="AU167">
        <f t="shared" si="188"/>
        <v>6.6017456111806198E-6</v>
      </c>
      <c r="AV167">
        <f t="shared" si="189"/>
        <v>1.5707963267948966</v>
      </c>
      <c r="AW167" t="str">
        <f t="shared" si="166"/>
        <v>1+0.00659603475857581i</v>
      </c>
      <c r="AX167">
        <f t="shared" si="190"/>
        <v>1.0000217536006586</v>
      </c>
      <c r="AY167">
        <f t="shared" si="191"/>
        <v>6.5959391016950477E-3</v>
      </c>
      <c r="AZ167" t="str">
        <f t="shared" si="167"/>
        <v>1+0.224265181791577i</v>
      </c>
      <c r="BA167">
        <f t="shared" si="192"/>
        <v>1.0248389491837286</v>
      </c>
      <c r="BB167">
        <f t="shared" si="193"/>
        <v>0.22061492183080381</v>
      </c>
      <c r="BC167" s="41" t="str">
        <f t="shared" si="194"/>
        <v>-0.549500313972471+2.52820932971657i</v>
      </c>
      <c r="BD167">
        <f t="shared" si="195"/>
        <v>8.2567227867627437</v>
      </c>
      <c r="BE167" s="43">
        <f t="shared" si="196"/>
        <v>102.26238444606116</v>
      </c>
      <c r="BF167" s="41" t="str">
        <f t="shared" si="197"/>
        <v>10.2556270796941+44.7816715077083i</v>
      </c>
      <c r="BG167" s="20">
        <f t="shared" si="198"/>
        <v>33.244009932429897</v>
      </c>
      <c r="BH167" s="43">
        <f t="shared" si="199"/>
        <v>77.100905512758871</v>
      </c>
      <c r="BI167" s="41" t="str">
        <f t="shared" si="152"/>
        <v>25.3475457295091+172.811658767502i</v>
      </c>
      <c r="BJ167" s="20">
        <f t="shared" si="200"/>
        <v>44.843904974784714</v>
      </c>
      <c r="BK167" s="43">
        <f t="shared" si="153"/>
        <v>81.655512581328594</v>
      </c>
      <c r="BL167">
        <f t="shared" si="201"/>
        <v>33.244009932429897</v>
      </c>
      <c r="BM167" s="43">
        <f t="shared" si="202"/>
        <v>77.100905512758871</v>
      </c>
    </row>
    <row r="168" spans="14:65" x14ac:dyDescent="0.25">
      <c r="N168" s="9">
        <v>50</v>
      </c>
      <c r="O168" s="34">
        <f t="shared" si="154"/>
        <v>316.22776601683825</v>
      </c>
      <c r="P168" s="33" t="str">
        <f t="shared" si="155"/>
        <v>19.6196196196196</v>
      </c>
      <c r="Q168" s="4" t="str">
        <f t="shared" si="156"/>
        <v>1+0.480947439738435i</v>
      </c>
      <c r="R168" s="4">
        <f t="shared" si="168"/>
        <v>1.1096442852513393</v>
      </c>
      <c r="S168" s="4">
        <f t="shared" si="169"/>
        <v>0.44828971629445136</v>
      </c>
      <c r="T168" s="4" t="str">
        <f t="shared" si="157"/>
        <v>1+0.00747081037587866i</v>
      </c>
      <c r="U168" s="4">
        <f t="shared" si="170"/>
        <v>1.0000279061144606</v>
      </c>
      <c r="V168" s="4">
        <f t="shared" si="171"/>
        <v>7.4706713910673173E-3</v>
      </c>
      <c r="W168" t="str">
        <f t="shared" si="158"/>
        <v>1-0.0043463823662858i</v>
      </c>
      <c r="X168" s="4">
        <f t="shared" si="172"/>
        <v>1.0000094454752284</v>
      </c>
      <c r="Y168" s="4">
        <f t="shared" si="173"/>
        <v>-4.3463549973687754E-3</v>
      </c>
      <c r="Z168" t="str">
        <f t="shared" si="159"/>
        <v>0.9999999+0.00290941513498314i</v>
      </c>
      <c r="AA168" s="4">
        <f t="shared" si="174"/>
        <v>1.0000041323396807</v>
      </c>
      <c r="AB168" s="4">
        <f t="shared" si="175"/>
        <v>2.9094072168586124E-3</v>
      </c>
      <c r="AC168" s="47" t="str">
        <f t="shared" si="176"/>
        <v>15.9361102087153-7.66021482793387i</v>
      </c>
      <c r="AD168" s="20">
        <f t="shared" si="177"/>
        <v>24.950424580680767</v>
      </c>
      <c r="AE168" s="43">
        <f t="shared" si="178"/>
        <v>-25.672795353977556</v>
      </c>
      <c r="AF168" t="str">
        <f t="shared" si="160"/>
        <v>72.2956529813786</v>
      </c>
      <c r="AG168" t="str">
        <f t="shared" si="161"/>
        <v>1+0.39221754473363i</v>
      </c>
      <c r="AH168">
        <f t="shared" si="179"/>
        <v>1.0741669341386735</v>
      </c>
      <c r="AI168">
        <f t="shared" si="180"/>
        <v>0.37377941263358744</v>
      </c>
      <c r="AJ168" t="str">
        <f t="shared" si="162"/>
        <v>1+0.00747081037587866i</v>
      </c>
      <c r="AK168">
        <f t="shared" si="181"/>
        <v>1.0000279061144606</v>
      </c>
      <c r="AL168">
        <f t="shared" si="182"/>
        <v>7.4706713910673173E-3</v>
      </c>
      <c r="AM168" t="str">
        <f t="shared" si="163"/>
        <v>1-0.000961912372621397i</v>
      </c>
      <c r="AN168">
        <f t="shared" si="183"/>
        <v>1.0000004626375993</v>
      </c>
      <c r="AO168">
        <f t="shared" si="184"/>
        <v>-9.6191207594360588E-4</v>
      </c>
      <c r="AP168" s="41" t="str">
        <f t="shared" si="185"/>
        <v>62.8172670742902-24.1674692274201i</v>
      </c>
      <c r="AQ168">
        <f t="shared" si="186"/>
        <v>36.561054508872196</v>
      </c>
      <c r="AR168" s="43">
        <f t="shared" si="187"/>
        <v>-21.043058374160371</v>
      </c>
      <c r="AS168" t="str">
        <f t="shared" si="164"/>
        <v>-0.0000166666666666667</v>
      </c>
      <c r="AT168" t="str">
        <f t="shared" si="165"/>
        <v>6.75552002074136E-06i</v>
      </c>
      <c r="AU168">
        <f t="shared" si="188"/>
        <v>6.7555200207413598E-6</v>
      </c>
      <c r="AV168">
        <f t="shared" si="189"/>
        <v>1.5707963267948966</v>
      </c>
      <c r="AW168" t="str">
        <f t="shared" si="166"/>
        <v>1+0.00674967614529089i</v>
      </c>
      <c r="AX168">
        <f t="shared" si="190"/>
        <v>1.0000227788045961</v>
      </c>
      <c r="AY168">
        <f t="shared" si="191"/>
        <v>6.7495736472225698E-3</v>
      </c>
      <c r="AZ168" t="str">
        <f t="shared" si="167"/>
        <v>1+0.22948898893989i</v>
      </c>
      <c r="BA168">
        <f t="shared" si="192"/>
        <v>1.0259947349010388</v>
      </c>
      <c r="BB168">
        <f t="shared" si="193"/>
        <v>0.22558299710281729</v>
      </c>
      <c r="BC168" s="41" t="str">
        <f t="shared" si="194"/>
        <v>-0.54949918729894+2.47082718197241i</v>
      </c>
      <c r="BD168">
        <f t="shared" si="195"/>
        <v>8.0665040746257475</v>
      </c>
      <c r="BE168" s="43">
        <f t="shared" si="196"/>
        <v>102.53823158040468</v>
      </c>
      <c r="BF168" s="41" t="str">
        <f t="shared" si="197"/>
        <v>10.1701874082117+43.5846561010867i</v>
      </c>
      <c r="BG168" s="20">
        <f t="shared" si="198"/>
        <v>33.016928655306508</v>
      </c>
      <c r="BH168" s="43">
        <f t="shared" si="199"/>
        <v>76.865436226427136</v>
      </c>
      <c r="BI168" s="41" t="str">
        <f t="shared" si="152"/>
        <v>25.1956026809284+168.490615683916i</v>
      </c>
      <c r="BJ168" s="20">
        <f t="shared" si="200"/>
        <v>44.627558583497937</v>
      </c>
      <c r="BK168" s="43">
        <f t="shared" si="153"/>
        <v>81.495173206244303</v>
      </c>
      <c r="BL168">
        <f t="shared" si="201"/>
        <v>33.016928655306508</v>
      </c>
      <c r="BM168" s="43">
        <f t="shared" si="202"/>
        <v>76.865436226427136</v>
      </c>
    </row>
    <row r="169" spans="14:65" x14ac:dyDescent="0.25">
      <c r="N169" s="9">
        <v>51</v>
      </c>
      <c r="O169" s="34">
        <f t="shared" si="154"/>
        <v>323.59365692962825</v>
      </c>
      <c r="P169" s="33" t="str">
        <f t="shared" si="155"/>
        <v>19.6196196196196</v>
      </c>
      <c r="Q169" s="4" t="str">
        <f t="shared" si="156"/>
        <v>1+0.492150144739711i</v>
      </c>
      <c r="R169" s="4">
        <f t="shared" si="168"/>
        <v>1.1145455418991719</v>
      </c>
      <c r="S169" s="4">
        <f t="shared" si="169"/>
        <v>0.45734802754356801</v>
      </c>
      <c r="T169" s="4" t="str">
        <f t="shared" si="157"/>
        <v>1+0.00764482790429497i</v>
      </c>
      <c r="U169" s="4">
        <f t="shared" si="170"/>
        <v>1.0000292212699018</v>
      </c>
      <c r="V169" s="4">
        <f t="shared" si="171"/>
        <v>7.6446789796215083E-3</v>
      </c>
      <c r="W169" t="str">
        <f t="shared" si="158"/>
        <v>1-0.00444762261719289i</v>
      </c>
      <c r="X169" s="4">
        <f t="shared" si="172"/>
        <v>1.0000098906245602</v>
      </c>
      <c r="Y169" s="4">
        <f t="shared" si="173"/>
        <v>-4.4475932908856E-3</v>
      </c>
      <c r="Z169" t="str">
        <f t="shared" si="159"/>
        <v>0.999999895287145+0.00297718411926381i</v>
      </c>
      <c r="AA169" s="4">
        <f t="shared" si="174"/>
        <v>1.0000043270904286</v>
      </c>
      <c r="AB169" s="4">
        <f t="shared" si="175"/>
        <v>2.9771756348425005E-3</v>
      </c>
      <c r="AC169" s="47" t="str">
        <f t="shared" si="176"/>
        <v>15.7963606906408-7.76986649860497i</v>
      </c>
      <c r="AD169" s="20">
        <f t="shared" si="177"/>
        <v>24.912157414277488</v>
      </c>
      <c r="AE169" s="43">
        <f t="shared" si="178"/>
        <v>-26.19151182891876</v>
      </c>
      <c r="AF169" t="str">
        <f t="shared" si="160"/>
        <v>72.2956529813786</v>
      </c>
      <c r="AG169" t="str">
        <f t="shared" si="161"/>
        <v>1+0.401353464975486i</v>
      </c>
      <c r="AH169">
        <f t="shared" si="179"/>
        <v>1.0775363584806912</v>
      </c>
      <c r="AI169">
        <f t="shared" si="180"/>
        <v>0.38167261243857264</v>
      </c>
      <c r="AJ169" t="str">
        <f t="shared" si="162"/>
        <v>1+0.00764482790429497i</v>
      </c>
      <c r="AK169">
        <f t="shared" si="181"/>
        <v>1.0000292212699018</v>
      </c>
      <c r="AL169">
        <f t="shared" si="182"/>
        <v>7.6446789796215083E-3</v>
      </c>
      <c r="AM169" t="str">
        <f t="shared" si="163"/>
        <v>1-0.000984318190091629i</v>
      </c>
      <c r="AN169">
        <f t="shared" si="183"/>
        <v>1.0000004844410324</v>
      </c>
      <c r="AO169">
        <f t="shared" si="184"/>
        <v>-9.8431787219565659E-4</v>
      </c>
      <c r="AP169" s="41" t="str">
        <f t="shared" si="185"/>
        <v>62.4325383782186-24.5759897063359i</v>
      </c>
      <c r="AQ169">
        <f t="shared" si="186"/>
        <v>36.53386304726682</v>
      </c>
      <c r="AR169" s="43">
        <f t="shared" si="187"/>
        <v>-21.486619266973996</v>
      </c>
      <c r="AS169" t="str">
        <f t="shared" si="164"/>
        <v>-0.0000166666666666667</v>
      </c>
      <c r="AT169" t="str">
        <f t="shared" si="165"/>
        <v>6.91287629643696E-06i</v>
      </c>
      <c r="AU169">
        <f t="shared" si="188"/>
        <v>6.9128762964369596E-6</v>
      </c>
      <c r="AV169">
        <f t="shared" si="189"/>
        <v>1.5707963267948966</v>
      </c>
      <c r="AW169" t="str">
        <f t="shared" si="166"/>
        <v>1+0.00690689629964073i</v>
      </c>
      <c r="AX169">
        <f t="shared" si="190"/>
        <v>1.0000238523237803</v>
      </c>
      <c r="AY169">
        <f t="shared" si="191"/>
        <v>6.9067864711232566E-3</v>
      </c>
      <c r="AZ169" t="str">
        <f t="shared" si="167"/>
        <v>1+0.234834474187785i</v>
      </c>
      <c r="BA169">
        <f t="shared" si="192"/>
        <v>1.027203597281013</v>
      </c>
      <c r="BB169">
        <f t="shared" si="193"/>
        <v>0.23065509157106309</v>
      </c>
      <c r="BC169" s="41" t="str">
        <f t="shared" si="194"/>
        <v>-0.549498007531876+2.41475509878844i</v>
      </c>
      <c r="BD169">
        <f t="shared" si="195"/>
        <v>7.8767227407914326</v>
      </c>
      <c r="BE169" s="43">
        <f t="shared" si="196"/>
        <v>102.81983355543201</v>
      </c>
      <c r="BF169" s="41" t="str">
        <f t="shared" si="197"/>
        <v>10.0822560186499+42.4138686797983i</v>
      </c>
      <c r="BG169" s="20">
        <f t="shared" si="198"/>
        <v>32.788880155068931</v>
      </c>
      <c r="BH169" s="43">
        <f t="shared" si="199"/>
        <v>76.628321726513221</v>
      </c>
      <c r="BI169" s="41" t="str">
        <f t="shared" si="152"/>
        <v>25.0384410071583+164.263747755864i</v>
      </c>
      <c r="BJ169" s="20">
        <f t="shared" si="200"/>
        <v>44.410585788058263</v>
      </c>
      <c r="BK169" s="43">
        <f t="shared" si="153"/>
        <v>81.333214288458038</v>
      </c>
      <c r="BL169">
        <f t="shared" si="201"/>
        <v>32.788880155068931</v>
      </c>
      <c r="BM169" s="43">
        <f t="shared" si="202"/>
        <v>76.628321726513221</v>
      </c>
    </row>
    <row r="170" spans="14:65" x14ac:dyDescent="0.25">
      <c r="N170" s="9">
        <v>52</v>
      </c>
      <c r="O170" s="34">
        <f t="shared" si="154"/>
        <v>331.13112148259137</v>
      </c>
      <c r="P170" s="33" t="str">
        <f t="shared" si="155"/>
        <v>19.6196196196196</v>
      </c>
      <c r="Q170" s="4" t="str">
        <f t="shared" si="156"/>
        <v>1+0.503613794262107i</v>
      </c>
      <c r="R170" s="4">
        <f t="shared" si="168"/>
        <v>1.1196547922333364</v>
      </c>
      <c r="S170" s="4">
        <f t="shared" si="169"/>
        <v>0.46653446338014337</v>
      </c>
      <c r="T170" s="4" t="str">
        <f t="shared" si="157"/>
        <v>1+0.00782289882165743i</v>
      </c>
      <c r="U170" s="4">
        <f t="shared" si="170"/>
        <v>1.0000305984048559</v>
      </c>
      <c r="V170" s="4">
        <f t="shared" si="171"/>
        <v>7.8227392462584932E-3</v>
      </c>
      <c r="W170" t="str">
        <f t="shared" si="158"/>
        <v>1-0.00455122105648289i</v>
      </c>
      <c r="X170" s="4">
        <f t="shared" si="172"/>
        <v>1.0000103567529213</v>
      </c>
      <c r="Y170" s="4">
        <f t="shared" si="173"/>
        <v>-4.5511896327960549E-3</v>
      </c>
      <c r="Z170" t="str">
        <f t="shared" si="159"/>
        <v>0.99999989035218+0.00304653164597222i</v>
      </c>
      <c r="AA170" s="4">
        <f t="shared" si="174"/>
        <v>1.0000045310194559</v>
      </c>
      <c r="AB170" s="4">
        <f t="shared" si="175"/>
        <v>3.046522554753218E-3</v>
      </c>
      <c r="AC170" s="47" t="str">
        <f t="shared" si="176"/>
        <v>15.6526299694932-7.87846526304728i</v>
      </c>
      <c r="AD170" s="20">
        <f t="shared" si="177"/>
        <v>24.872445168978121</v>
      </c>
      <c r="AE170" s="43">
        <f t="shared" si="178"/>
        <v>-26.717562648342675</v>
      </c>
      <c r="AF170" t="str">
        <f t="shared" si="160"/>
        <v>72.2956529813786</v>
      </c>
      <c r="AG170" t="str">
        <f t="shared" si="161"/>
        <v>1+0.410702188137016i</v>
      </c>
      <c r="AH170">
        <f t="shared" si="179"/>
        <v>1.0810533230791777</v>
      </c>
      <c r="AI170">
        <f t="shared" si="180"/>
        <v>0.38969821986575531</v>
      </c>
      <c r="AJ170" t="str">
        <f t="shared" si="162"/>
        <v>1+0.00782289882165743i</v>
      </c>
      <c r="AK170">
        <f t="shared" si="181"/>
        <v>1.0000305984048559</v>
      </c>
      <c r="AL170">
        <f t="shared" si="182"/>
        <v>7.8227392462584932E-3</v>
      </c>
      <c r="AM170" t="str">
        <f t="shared" si="163"/>
        <v>1-0.00100724590609524i</v>
      </c>
      <c r="AN170">
        <f t="shared" si="183"/>
        <v>1.000000507272029</v>
      </c>
      <c r="AO170">
        <f t="shared" si="184"/>
        <v>-1.007245565463578E-3</v>
      </c>
      <c r="AP170" s="41" t="str">
        <f t="shared" si="185"/>
        <v>62.0347941306953-24.9850836120809i</v>
      </c>
      <c r="AQ170">
        <f t="shared" si="186"/>
        <v>36.505571547617578</v>
      </c>
      <c r="AR170" s="43">
        <f t="shared" si="187"/>
        <v>-21.937564258861382</v>
      </c>
      <c r="AS170" t="str">
        <f t="shared" si="164"/>
        <v>-0.0000166666666666667</v>
      </c>
      <c r="AT170" t="str">
        <f t="shared" si="165"/>
        <v>7.07389787064768E-06i</v>
      </c>
      <c r="AU170">
        <f t="shared" si="188"/>
        <v>7.0738978706476798E-6</v>
      </c>
      <c r="AV170">
        <f t="shared" si="189"/>
        <v>1.5707963267948966</v>
      </c>
      <c r="AW170" t="str">
        <f t="shared" si="166"/>
        <v>1+0.00706777858183226i</v>
      </c>
      <c r="AX170">
        <f t="shared" si="190"/>
        <v>1.0000249764351299</v>
      </c>
      <c r="AY170">
        <f t="shared" si="191"/>
        <v>7.0676608986142662E-3</v>
      </c>
      <c r="AZ170" t="str">
        <f t="shared" si="167"/>
        <v>1+0.240304471782296i</v>
      </c>
      <c r="BA170">
        <f t="shared" si="192"/>
        <v>1.0284679086673383</v>
      </c>
      <c r="BB170">
        <f t="shared" si="193"/>
        <v>0.23583285017844197</v>
      </c>
      <c r="BC170" s="41" t="str">
        <f t="shared" si="194"/>
        <v>-0.549496772169531+2.35996334995269i</v>
      </c>
      <c r="BD170">
        <f t="shared" si="195"/>
        <v>7.6873972430889728</v>
      </c>
      <c r="BE170" s="43">
        <f t="shared" si="196"/>
        <v>103.10727984524553</v>
      </c>
      <c r="BF170" s="41" t="str">
        <f t="shared" si="197"/>
        <v>9.99181963046638+41.2688242900693i</v>
      </c>
      <c r="BG170" s="20">
        <f t="shared" si="198"/>
        <v>32.559842412067098</v>
      </c>
      <c r="BH170" s="43">
        <f t="shared" si="199"/>
        <v>76.389717196902865</v>
      </c>
      <c r="BI170" s="41" t="str">
        <f t="shared" si="152"/>
        <v>24.8759624829961+160.129063367525i</v>
      </c>
      <c r="BJ170" s="20">
        <f t="shared" si="200"/>
        <v>44.19296879070653</v>
      </c>
      <c r="BK170" s="43">
        <f t="shared" si="153"/>
        <v>81.169715586384115</v>
      </c>
      <c r="BL170">
        <f t="shared" si="201"/>
        <v>32.559842412067098</v>
      </c>
      <c r="BM170" s="43">
        <f t="shared" si="202"/>
        <v>76.389717196902865</v>
      </c>
    </row>
    <row r="171" spans="14:65" x14ac:dyDescent="0.25">
      <c r="N171" s="9">
        <v>53</v>
      </c>
      <c r="O171" s="34">
        <f t="shared" si="154"/>
        <v>338.84415613920277</v>
      </c>
      <c r="P171" s="33" t="str">
        <f t="shared" si="155"/>
        <v>19.6196196196196</v>
      </c>
      <c r="Q171" s="4" t="str">
        <f t="shared" si="156"/>
        <v>1+0.515344466484333i</v>
      </c>
      <c r="R171" s="4">
        <f t="shared" si="168"/>
        <v>1.1249799638820337</v>
      </c>
      <c r="S171" s="4">
        <f t="shared" si="169"/>
        <v>0.47584769163821961</v>
      </c>
      <c r="T171" s="4" t="str">
        <f t="shared" si="157"/>
        <v>1+0.00800511754352339i</v>
      </c>
      <c r="U171" s="4">
        <f t="shared" si="170"/>
        <v>1.0000320404401479</v>
      </c>
      <c r="V171" s="4">
        <f t="shared" si="171"/>
        <v>8.0049465556986665E-3</v>
      </c>
      <c r="W171" t="str">
        <f t="shared" si="158"/>
        <v>1-0.00465723261341953i</v>
      </c>
      <c r="X171" s="4">
        <f t="shared" si="172"/>
        <v>1.0000108448490024</v>
      </c>
      <c r="Y171" s="4">
        <f t="shared" si="173"/>
        <v>-4.6571989423521663E-3</v>
      </c>
      <c r="Z171" t="str">
        <f t="shared" si="159"/>
        <v>0.999999885184638+0.00311749448408491i</v>
      </c>
      <c r="AA171" s="4">
        <f t="shared" si="174"/>
        <v>1.0000047445593183</v>
      </c>
      <c r="AB171" s="4">
        <f t="shared" si="175"/>
        <v>3.117484742670735E-3</v>
      </c>
      <c r="AC171" s="47" t="str">
        <f t="shared" si="176"/>
        <v>15.5049043980786-7.98584884271515i</v>
      </c>
      <c r="AD171" s="20">
        <f t="shared" si="177"/>
        <v>24.831247191013553</v>
      </c>
      <c r="AE171" s="43">
        <f t="shared" si="178"/>
        <v>-27.250871331244284</v>
      </c>
      <c r="AF171" t="str">
        <f t="shared" si="160"/>
        <v>72.2956529813786</v>
      </c>
      <c r="AG171" t="str">
        <f t="shared" si="161"/>
        <v>1+0.420268671034978i</v>
      </c>
      <c r="AH171">
        <f t="shared" si="179"/>
        <v>1.0847238154726329</v>
      </c>
      <c r="AI171">
        <f t="shared" si="180"/>
        <v>0.39785635369613559</v>
      </c>
      <c r="AJ171" t="str">
        <f t="shared" si="162"/>
        <v>1+0.00800511754352339i</v>
      </c>
      <c r="AK171">
        <f t="shared" si="181"/>
        <v>1.0000320404401479</v>
      </c>
      <c r="AL171">
        <f t="shared" si="182"/>
        <v>8.0049465556986665E-3</v>
      </c>
      <c r="AM171" t="str">
        <f t="shared" si="163"/>
        <v>1-0.00103070767721074i</v>
      </c>
      <c r="AN171">
        <f t="shared" si="183"/>
        <v>1.0000005311790168</v>
      </c>
      <c r="AO171">
        <f t="shared" si="184"/>
        <v>-1.0307073122173486E-3</v>
      </c>
      <c r="AP171" s="41" t="str">
        <f t="shared" si="185"/>
        <v>61.6238058644755-25.3943354793358i</v>
      </c>
      <c r="AQ171">
        <f t="shared" si="186"/>
        <v>36.476143095544352</v>
      </c>
      <c r="AR171" s="43">
        <f t="shared" si="187"/>
        <v>-22.395895445286722</v>
      </c>
      <c r="AS171" t="str">
        <f t="shared" si="164"/>
        <v>-0.0000166666666666667</v>
      </c>
      <c r="AT171" t="str">
        <f t="shared" si="165"/>
        <v>7.23867011914352E-06i</v>
      </c>
      <c r="AU171">
        <f t="shared" si="188"/>
        <v>7.23867011914352E-6</v>
      </c>
      <c r="AV171">
        <f t="shared" si="189"/>
        <v>1.5707963267948966</v>
      </c>
      <c r="AW171" t="str">
        <f t="shared" si="166"/>
        <v>1+0.00723240829378093i</v>
      </c>
      <c r="AX171">
        <f t="shared" si="190"/>
        <v>1.0000261535228605</v>
      </c>
      <c r="AY171">
        <f t="shared" si="191"/>
        <v>7.2322821941190607E-3</v>
      </c>
      <c r="AZ171" t="str">
        <f t="shared" si="167"/>
        <v>1+0.245901881988551i</v>
      </c>
      <c r="BA171">
        <f t="shared" si="192"/>
        <v>1.0297901415169555</v>
      </c>
      <c r="BB171">
        <f t="shared" si="193"/>
        <v>0.24111790726022345</v>
      </c>
      <c r="BC171" s="41" t="str">
        <f t="shared" si="194"/>
        <v>-0.549495478592305+2.30642288409974i</v>
      </c>
      <c r="BD171">
        <f t="shared" si="195"/>
        <v>7.4985467183305001</v>
      </c>
      <c r="BE171" s="43">
        <f t="shared" si="196"/>
        <v>103.40065920506692</v>
      </c>
      <c r="BF171" s="41" t="str">
        <f t="shared" si="197"/>
        <v>9.89886965704951+40.1490541513008i</v>
      </c>
      <c r="BG171" s="20">
        <f t="shared" si="198"/>
        <v>32.329793909344062</v>
      </c>
      <c r="BH171" s="43">
        <f t="shared" si="199"/>
        <v>76.14978787382266</v>
      </c>
      <c r="BI171" s="41" t="str">
        <f t="shared" si="152"/>
        <v>24.7080737798668+156.084628578897i</v>
      </c>
      <c r="BJ171" s="20">
        <f t="shared" si="200"/>
        <v>43.974689813874839</v>
      </c>
      <c r="BK171" s="43">
        <f t="shared" si="153"/>
        <v>81.004763759780175</v>
      </c>
      <c r="BL171">
        <f t="shared" si="201"/>
        <v>32.329793909344062</v>
      </c>
      <c r="BM171" s="43">
        <f t="shared" si="202"/>
        <v>76.14978787382266</v>
      </c>
    </row>
    <row r="172" spans="14:65" x14ac:dyDescent="0.25">
      <c r="N172" s="9">
        <v>54</v>
      </c>
      <c r="O172" s="34">
        <f t="shared" si="154"/>
        <v>346.73685045253183</v>
      </c>
      <c r="P172" s="33" t="str">
        <f t="shared" si="155"/>
        <v>19.6196196196196</v>
      </c>
      <c r="Q172" s="4" t="str">
        <f t="shared" si="156"/>
        <v>1+0.527348381164082i</v>
      </c>
      <c r="R172" s="4">
        <f t="shared" si="168"/>
        <v>1.1305292190458316</v>
      </c>
      <c r="S172" s="4">
        <f t="shared" si="169"/>
        <v>0.48528618705212756</v>
      </c>
      <c r="T172" s="4" t="str">
        <f t="shared" si="157"/>
        <v>1+0.00819158068467121i</v>
      </c>
      <c r="U172" s="4">
        <f t="shared" si="170"/>
        <v>1.0000335504342408</v>
      </c>
      <c r="V172" s="4">
        <f t="shared" si="171"/>
        <v>8.1913974682480389E-3</v>
      </c>
      <c r="W172" t="str">
        <f t="shared" si="158"/>
        <v>1-0.00476571349673359i</v>
      </c>
      <c r="X172" s="4">
        <f t="shared" si="172"/>
        <v>1.0000113559480877</v>
      </c>
      <c r="Y172" s="4">
        <f t="shared" si="173"/>
        <v>-4.7656774175570092E-3</v>
      </c>
      <c r="Z172" t="str">
        <f t="shared" si="159"/>
        <v>0.999999879773557+0.00319011025903799i</v>
      </c>
      <c r="AA172" s="4">
        <f t="shared" si="174"/>
        <v>1.0000049681629553</v>
      </c>
      <c r="AB172" s="4">
        <f t="shared" si="175"/>
        <v>3.1900998209274411E-3</v>
      </c>
      <c r="AC172" s="47" t="str">
        <f t="shared" si="176"/>
        <v>15.3531782633819-8.09185073905172i</v>
      </c>
      <c r="AD172" s="20">
        <f t="shared" si="177"/>
        <v>24.788522728906969</v>
      </c>
      <c r="AE172" s="43">
        <f t="shared" si="178"/>
        <v>-27.791350329349758</v>
      </c>
      <c r="AF172" t="str">
        <f t="shared" si="160"/>
        <v>72.2956529813786</v>
      </c>
      <c r="AG172" t="str">
        <f t="shared" si="161"/>
        <v>1+0.430057985945239i</v>
      </c>
      <c r="AH172">
        <f t="shared" si="179"/>
        <v>1.08855402772452</v>
      </c>
      <c r="AI172">
        <f t="shared" si="180"/>
        <v>0.40614699470466514</v>
      </c>
      <c r="AJ172" t="str">
        <f t="shared" si="162"/>
        <v>1+0.00819158068467121i</v>
      </c>
      <c r="AK172">
        <f t="shared" si="181"/>
        <v>1.0000335504342408</v>
      </c>
      <c r="AL172">
        <f t="shared" si="182"/>
        <v>8.1913974682480389E-3</v>
      </c>
      <c r="AM172" t="str">
        <f t="shared" si="163"/>
        <v>1-0.00105471594317972i</v>
      </c>
      <c r="AN172">
        <f t="shared" si="183"/>
        <v>1.0000005562127057</v>
      </c>
      <c r="AO172">
        <f t="shared" si="184"/>
        <v>-1.0547155520822665E-3</v>
      </c>
      <c r="AP172" s="41" t="str">
        <f t="shared" si="185"/>
        <v>61.1993586605616-25.8033086299755i</v>
      </c>
      <c r="AQ172">
        <f t="shared" si="186"/>
        <v>36.445540153834358</v>
      </c>
      <c r="AR172" s="43">
        <f t="shared" si="187"/>
        <v>-22.861606904975847</v>
      </c>
      <c r="AS172" t="str">
        <f t="shared" si="164"/>
        <v>-0.0000166666666666667</v>
      </c>
      <c r="AT172" t="str">
        <f t="shared" si="165"/>
        <v>7.40728040635165E-06i</v>
      </c>
      <c r="AU172">
        <f t="shared" si="188"/>
        <v>7.4072804063516496E-6</v>
      </c>
      <c r="AV172">
        <f t="shared" si="189"/>
        <v>1.5707963267948966</v>
      </c>
      <c r="AW172" t="str">
        <f t="shared" si="166"/>
        <v>1+0.00740087272433923i</v>
      </c>
      <c r="AX172">
        <f t="shared" si="190"/>
        <v>1.0000273860835422</v>
      </c>
      <c r="AY172">
        <f t="shared" si="191"/>
        <v>7.4007376063169993E-3</v>
      </c>
      <c r="AZ172" t="str">
        <f t="shared" si="167"/>
        <v>1+0.251629672627533i</v>
      </c>
      <c r="BA172">
        <f t="shared" si="192"/>
        <v>1.0311728720959641</v>
      </c>
      <c r="BB172">
        <f t="shared" si="193"/>
        <v>0.24651188353976364</v>
      </c>
      <c r="BC172" s="41" t="str">
        <f t="shared" si="194"/>
        <v>-0.549494124057193+2.25410531330702i</v>
      </c>
      <c r="BD172">
        <f t="shared" si="195"/>
        <v>7.3101909982219313</v>
      </c>
      <c r="BE172" s="43">
        <f t="shared" si="196"/>
        <v>103.70005949652324</v>
      </c>
      <c r="BF172" s="41" t="str">
        <f t="shared" si="197"/>
        <v>9.80340250405285+39.0541051334958i</v>
      </c>
      <c r="BG172" s="20">
        <f t="shared" si="198"/>
        <v>32.09871372712891</v>
      </c>
      <c r="BH172" s="43">
        <f t="shared" si="199"/>
        <v>75.908709167173498</v>
      </c>
      <c r="BI172" s="41" t="str">
        <f t="shared" si="152"/>
        <v>24.5346871036814+152.12856600116i</v>
      </c>
      <c r="BJ172" s="20">
        <f t="shared" si="200"/>
        <v>43.755731152056313</v>
      </c>
      <c r="BK172" s="43">
        <f t="shared" si="153"/>
        <v>80.838452591547423</v>
      </c>
      <c r="BL172">
        <f t="shared" si="201"/>
        <v>32.09871372712891</v>
      </c>
      <c r="BM172" s="43">
        <f t="shared" si="202"/>
        <v>75.908709167173498</v>
      </c>
    </row>
    <row r="173" spans="14:65" x14ac:dyDescent="0.25">
      <c r="N173" s="9">
        <v>55</v>
      </c>
      <c r="O173" s="34">
        <f t="shared" si="154"/>
        <v>354.81338923357566</v>
      </c>
      <c r="P173" s="33" t="str">
        <f t="shared" si="155"/>
        <v>19.6196196196196</v>
      </c>
      <c r="Q173" s="4" t="str">
        <f t="shared" si="156"/>
        <v>1+0.539631902935805i</v>
      </c>
      <c r="R173" s="4">
        <f t="shared" si="168"/>
        <v>1.1363109568538525</v>
      </c>
      <c r="S173" s="4">
        <f t="shared" si="169"/>
        <v>0.49484822652840177</v>
      </c>
      <c r="T173" s="4" t="str">
        <f t="shared" si="157"/>
        <v>1+0.00838238711032643i</v>
      </c>
      <c r="U173" s="4">
        <f t="shared" si="170"/>
        <v>1.0000351315897194</v>
      </c>
      <c r="V173" s="4">
        <f t="shared" si="171"/>
        <v>8.3821907907644516E-3</v>
      </c>
      <c r="W173" t="str">
        <f t="shared" si="158"/>
        <v>1-0.00487672122442529i</v>
      </c>
      <c r="X173" s="4">
        <f t="shared" si="172"/>
        <v>1.0000118911342508</v>
      </c>
      <c r="Y173" s="4">
        <f t="shared" si="173"/>
        <v>-4.8766825649158947E-3</v>
      </c>
      <c r="Z173" t="str">
        <f t="shared" si="159"/>
        <v>0.999999874107459+0.00326441747267652i</v>
      </c>
      <c r="AA173" s="4">
        <f t="shared" si="174"/>
        <v>1.0000052023046531</v>
      </c>
      <c r="AB173" s="4">
        <f t="shared" si="175"/>
        <v>3.2644062880426991E-3</v>
      </c>
      <c r="AC173" s="47" t="str">
        <f t="shared" si="176"/>
        <v>15.1974542481896-8.19630062964167i</v>
      </c>
      <c r="AD173" s="20">
        <f t="shared" si="177"/>
        <v>24.744231016836157</v>
      </c>
      <c r="AE173" s="43">
        <f t="shared" si="178"/>
        <v>-28.338900756142468</v>
      </c>
      <c r="AF173" t="str">
        <f t="shared" si="160"/>
        <v>72.2956529813786</v>
      </c>
      <c r="AG173" t="str">
        <f t="shared" si="161"/>
        <v>1+0.440075323292138i</v>
      </c>
      <c r="AH173">
        <f t="shared" si="179"/>
        <v>1.0925503604734565</v>
      </c>
      <c r="AI173">
        <f t="shared" si="180"/>
        <v>0.41456997880782731</v>
      </c>
      <c r="AJ173" t="str">
        <f t="shared" si="162"/>
        <v>1+0.00838238711032643i</v>
      </c>
      <c r="AK173">
        <f t="shared" si="181"/>
        <v>1.0000351315897194</v>
      </c>
      <c r="AL173">
        <f t="shared" si="182"/>
        <v>8.3821907907644516E-3</v>
      </c>
      <c r="AM173" t="str">
        <f t="shared" si="163"/>
        <v>1-0.00107928343350259i</v>
      </c>
      <c r="AN173">
        <f t="shared" si="183"/>
        <v>1.0000005824261953</v>
      </c>
      <c r="AO173">
        <f t="shared" si="184"/>
        <v>-1.0792830144341317E-3</v>
      </c>
      <c r="AP173" s="41" t="str">
        <f t="shared" si="185"/>
        <v>60.7612527641383-26.2115453047068i</v>
      </c>
      <c r="AQ173">
        <f t="shared" si="186"/>
        <v>36.413724602874865</v>
      </c>
      <c r="AR173" s="43">
        <f t="shared" si="187"/>
        <v>-23.334684304759495</v>
      </c>
      <c r="AS173" t="str">
        <f t="shared" si="164"/>
        <v>-0.0000166666666666667</v>
      </c>
      <c r="AT173" t="str">
        <f t="shared" si="165"/>
        <v>7.57981813167818E-06i</v>
      </c>
      <c r="AU173">
        <f t="shared" si="188"/>
        <v>7.57981813167818E-6</v>
      </c>
      <c r="AV173">
        <f t="shared" si="189"/>
        <v>1.5707963267948966</v>
      </c>
      <c r="AW173" t="str">
        <f t="shared" si="166"/>
        <v>1+0.00757326119557811i</v>
      </c>
      <c r="AX173">
        <f t="shared" si="190"/>
        <v>1.0000286767313908</v>
      </c>
      <c r="AY173">
        <f t="shared" si="191"/>
        <v>7.5731164142330337E-3</v>
      </c>
      <c r="AZ173" t="str">
        <f t="shared" si="167"/>
        <v>1+0.257490880649655i</v>
      </c>
      <c r="BA173">
        <f t="shared" si="192"/>
        <v>1.0326187842653913</v>
      </c>
      <c r="BB173">
        <f t="shared" si="193"/>
        <v>0.25201638293512107</v>
      </c>
      <c r="BC173" s="41" t="str">
        <f t="shared" si="194"/>
        <v>-0.549492705691964+2.20298289804294i</v>
      </c>
      <c r="BD173">
        <f t="shared" si="195"/>
        <v>7.1223506247810473</v>
      </c>
      <c r="BE173" s="43">
        <f t="shared" si="196"/>
        <v>104.0055675020384</v>
      </c>
      <c r="BF173" s="41" t="str">
        <f t="shared" si="197"/>
        <v>9.70541985985164+37.9835392121983i</v>
      </c>
      <c r="BG173" s="20">
        <f t="shared" si="198"/>
        <v>31.866581641617209</v>
      </c>
      <c r="BH173" s="43">
        <f t="shared" si="199"/>
        <v>75.666666745895967</v>
      </c>
      <c r="BI173" s="41" t="str">
        <f t="shared" si="152"/>
        <v>24.3557208549471+148.259053652912i</v>
      </c>
      <c r="BJ173" s="20">
        <f t="shared" si="200"/>
        <v>43.536075227655921</v>
      </c>
      <c r="BK173" s="43">
        <f t="shared" si="153"/>
        <v>80.670883197278926</v>
      </c>
      <c r="BL173">
        <f t="shared" si="201"/>
        <v>31.866581641617209</v>
      </c>
      <c r="BM173" s="43">
        <f t="shared" si="202"/>
        <v>75.666666745895967</v>
      </c>
    </row>
    <row r="174" spans="14:65" x14ac:dyDescent="0.25">
      <c r="N174" s="9">
        <v>56</v>
      </c>
      <c r="O174" s="34">
        <f t="shared" si="154"/>
        <v>363.07805477010152</v>
      </c>
      <c r="P174" s="33" t="str">
        <f t="shared" si="155"/>
        <v>19.6196196196196</v>
      </c>
      <c r="Q174" s="4" t="str">
        <f t="shared" si="156"/>
        <v>1+0.55220154468534i</v>
      </c>
      <c r="R174" s="4">
        <f t="shared" si="168"/>
        <v>1.1423338154641469</v>
      </c>
      <c r="S174" s="4">
        <f t="shared" si="169"/>
        <v>0.50453188491059087</v>
      </c>
      <c r="T174" s="4" t="str">
        <f t="shared" si="157"/>
        <v>1+0.00857763798858159i</v>
      </c>
      <c r="U174" s="4">
        <f t="shared" si="170"/>
        <v>1.0000367872600804</v>
      </c>
      <c r="V174" s="4">
        <f t="shared" si="171"/>
        <v>8.5774276287988692E-3</v>
      </c>
      <c r="W174" t="str">
        <f t="shared" si="158"/>
        <v>1-0.00499031465426124i</v>
      </c>
      <c r="X174" s="4">
        <f t="shared" si="172"/>
        <v>1.0000124515426538</v>
      </c>
      <c r="Y174" s="4">
        <f t="shared" si="173"/>
        <v>-4.9902732298784487E-3</v>
      </c>
      <c r="Z174" t="str">
        <f t="shared" si="159"/>
        <v>0.999999868174326+0.00334045552366874i</v>
      </c>
      <c r="AA174" s="4">
        <f t="shared" si="174"/>
        <v>1.0000054474810498</v>
      </c>
      <c r="AB174" s="4">
        <f t="shared" si="175"/>
        <v>3.3404435391212058E-3</v>
      </c>
      <c r="AC174" s="47" t="str">
        <f t="shared" si="176"/>
        <v>15.0377438755775-8.29902481153281i</v>
      </c>
      <c r="AD174" s="20">
        <f t="shared" si="177"/>
        <v>24.698331362623822</v>
      </c>
      <c r="AE174" s="43">
        <f t="shared" si="178"/>
        <v>-28.893412144130483</v>
      </c>
      <c r="AF174" t="str">
        <f t="shared" si="160"/>
        <v>72.2956529813786</v>
      </c>
      <c r="AG174" t="str">
        <f t="shared" si="161"/>
        <v>1+0.450325994400534i</v>
      </c>
      <c r="AH174">
        <f t="shared" si="179"/>
        <v>1.0967194268512024</v>
      </c>
      <c r="AI174">
        <f t="shared" si="180"/>
        <v>0.42312499027275235</v>
      </c>
      <c r="AJ174" t="str">
        <f t="shared" si="162"/>
        <v>1+0.00857763798858159i</v>
      </c>
      <c r="AK174">
        <f t="shared" si="181"/>
        <v>1.0000367872600804</v>
      </c>
      <c r="AL174">
        <f t="shared" si="182"/>
        <v>8.5774276287988692E-3</v>
      </c>
      <c r="AM174" t="str">
        <f t="shared" si="163"/>
        <v>1-0.00110442317418792i</v>
      </c>
      <c r="AN174">
        <f t="shared" si="183"/>
        <v>1.0000006098750878</v>
      </c>
      <c r="AO174">
        <f t="shared" si="184"/>
        <v>-1.1044227251479914E-3</v>
      </c>
      <c r="AP174" s="41" t="str">
        <f t="shared" si="185"/>
        <v>60.3093052483599-26.6185669126963i</v>
      </c>
      <c r="AQ174">
        <f t="shared" si="186"/>
        <v>36.380657785703335</v>
      </c>
      <c r="AR174" s="43">
        <f t="shared" si="187"/>
        <v>-23.815104507882946</v>
      </c>
      <c r="AS174" t="str">
        <f t="shared" si="164"/>
        <v>-0.0000166666666666667</v>
      </c>
      <c r="AT174" t="str">
        <f t="shared" si="165"/>
        <v>7.75637477690888E-06i</v>
      </c>
      <c r="AU174">
        <f t="shared" si="188"/>
        <v>7.7563747769088799E-6</v>
      </c>
      <c r="AV174">
        <f t="shared" si="189"/>
        <v>1.5707963267948966</v>
      </c>
      <c r="AW174" t="str">
        <f t="shared" si="166"/>
        <v>1+0.00774966511014687i</v>
      </c>
      <c r="AX174">
        <f t="shared" si="190"/>
        <v>1.0000300282038133</v>
      </c>
      <c r="AY174">
        <f t="shared" si="191"/>
        <v>7.7495099743921728E-3</v>
      </c>
      <c r="AZ174" t="str">
        <f t="shared" si="167"/>
        <v>1+0.263488613744993i</v>
      </c>
      <c r="BA174">
        <f t="shared" si="192"/>
        <v>1.0341306733548028</v>
      </c>
      <c r="BB174">
        <f t="shared" si="193"/>
        <v>0.25763298917125582</v>
      </c>
      <c r="BC174" s="41" t="str">
        <f t="shared" si="194"/>
        <v>-0.549491220489091+2.15302853245864i</v>
      </c>
      <c r="BD174">
        <f t="shared" si="195"/>
        <v>6.9350468651581352</v>
      </c>
      <c r="BE174" s="43">
        <f t="shared" si="196"/>
        <v>104.31726872802535</v>
      </c>
      <c r="BF174" s="41" t="str">
        <f t="shared" si="197"/>
        <v>9.60492897521889+36.9369329004819i</v>
      </c>
      <c r="BG174" s="20">
        <f t="shared" si="198"/>
        <v>31.633378227781947</v>
      </c>
      <c r="BH174" s="43">
        <f t="shared" si="199"/>
        <v>75.42385658389486</v>
      </c>
      <c r="BI174" s="41" t="str">
        <f t="shared" si="152"/>
        <v>24.1711003084242+144.474323793004i</v>
      </c>
      <c r="BJ174" s="20">
        <f t="shared" si="200"/>
        <v>43.315704650861441</v>
      </c>
      <c r="BK174" s="43">
        <f t="shared" si="153"/>
        <v>80.502164220142376</v>
      </c>
      <c r="BL174">
        <f t="shared" si="201"/>
        <v>31.633378227781947</v>
      </c>
      <c r="BM174" s="43">
        <f t="shared" si="202"/>
        <v>75.42385658389486</v>
      </c>
    </row>
    <row r="175" spans="14:65" x14ac:dyDescent="0.25">
      <c r="N175" s="9">
        <v>57</v>
      </c>
      <c r="O175" s="34">
        <f t="shared" si="154"/>
        <v>371.53522909717265</v>
      </c>
      <c r="P175" s="33" t="str">
        <f t="shared" si="155"/>
        <v>19.6196196196196</v>
      </c>
      <c r="Q175" s="4" t="str">
        <f t="shared" si="156"/>
        <v>1+0.565063971003116i</v>
      </c>
      <c r="R175" s="4">
        <f t="shared" si="168"/>
        <v>1.1486066738992118</v>
      </c>
      <c r="S175" s="4">
        <f t="shared" si="169"/>
        <v>0.51433503129235014</v>
      </c>
      <c r="T175" s="4" t="str">
        <f t="shared" si="157"/>
        <v>1+0.00877743684403672i</v>
      </c>
      <c r="U175" s="4">
        <f t="shared" si="170"/>
        <v>1.0000385209568434</v>
      </c>
      <c r="V175" s="4">
        <f t="shared" si="171"/>
        <v>8.7772114399374164E-3</v>
      </c>
      <c r="W175" t="str">
        <f t="shared" si="158"/>
        <v>1-0.00510655401498148i</v>
      </c>
      <c r="X175" s="4">
        <f t="shared" si="172"/>
        <v>1.0000130383619545</v>
      </c>
      <c r="Y175" s="4">
        <f t="shared" si="173"/>
        <v>-5.1065096279868678E-3</v>
      </c>
      <c r="Z175" t="str">
        <f t="shared" si="159"/>
        <v>0.999999861961574+0.00341826472839576i</v>
      </c>
      <c r="AA175" s="4">
        <f t="shared" si="174"/>
        <v>1.0000057042121913</v>
      </c>
      <c r="AB175" s="4">
        <f t="shared" si="175"/>
        <v>3.4182518867256662E-3</v>
      </c>
      <c r="AC175" s="47" t="str">
        <f t="shared" si="176"/>
        <v>14.8740679314277-8.39984669172913i</v>
      </c>
      <c r="AD175" s="20">
        <f t="shared" si="177"/>
        <v>24.650783240156656</v>
      </c>
      <c r="AE175" s="43">
        <f t="shared" si="178"/>
        <v>-29.454762233527074</v>
      </c>
      <c r="AF175" t="str">
        <f t="shared" si="160"/>
        <v>72.2956529813786</v>
      </c>
      <c r="AG175" t="str">
        <f t="shared" si="161"/>
        <v>1+0.460815434311928i</v>
      </c>
      <c r="AH175">
        <f t="shared" si="179"/>
        <v>1.1010680562526964</v>
      </c>
      <c r="AI175">
        <f t="shared" si="180"/>
        <v>0.431811555027451</v>
      </c>
      <c r="AJ175" t="str">
        <f t="shared" si="162"/>
        <v>1+0.00877743684403672i</v>
      </c>
      <c r="AK175">
        <f t="shared" si="181"/>
        <v>1.0000385209568434</v>
      </c>
      <c r="AL175">
        <f t="shared" si="182"/>
        <v>8.7772114399374164E-3</v>
      </c>
      <c r="AM175" t="str">
        <f t="shared" si="163"/>
        <v>1-0.00113014849465896i</v>
      </c>
      <c r="AN175">
        <f t="shared" si="183"/>
        <v>1.0000006386176061</v>
      </c>
      <c r="AO175">
        <f t="shared" si="184"/>
        <v>-1.1301480135040242E-3</v>
      </c>
      <c r="AP175" s="41" t="str">
        <f t="shared" si="185"/>
        <v>59.8433517182131-27.0238744079547i</v>
      </c>
      <c r="AQ175">
        <f t="shared" si="186"/>
        <v>36.346300557799637</v>
      </c>
      <c r="AR175" s="43">
        <f t="shared" si="187"/>
        <v>-24.302835188050583</v>
      </c>
      <c r="AS175" t="str">
        <f t="shared" si="164"/>
        <v>-0.0000166666666666667</v>
      </c>
      <c r="AT175" t="str">
        <f t="shared" si="165"/>
        <v>7.93704395471405E-06i</v>
      </c>
      <c r="AU175">
        <f t="shared" si="188"/>
        <v>7.93704395471405E-6</v>
      </c>
      <c r="AV175">
        <f t="shared" si="189"/>
        <v>1.5707963267948966</v>
      </c>
      <c r="AW175" t="str">
        <f t="shared" si="166"/>
        <v>1+0.00793017799973595i</v>
      </c>
      <c r="AX175">
        <f t="shared" si="190"/>
        <v>1.0000314433672111</v>
      </c>
      <c r="AY175">
        <f t="shared" si="191"/>
        <v>7.9300117690621463E-3</v>
      </c>
      <c r="AZ175" t="str">
        <f t="shared" si="167"/>
        <v>1+0.269626051991022i</v>
      </c>
      <c r="BA175">
        <f t="shared" si="192"/>
        <v>1.0357114501212514</v>
      </c>
      <c r="BB175">
        <f t="shared" si="193"/>
        <v>0.2633632621929331</v>
      </c>
      <c r="BC175" s="41" t="str">
        <f t="shared" si="194"/>
        <v>-0.549489665299368+2.10421573001584i</v>
      </c>
      <c r="BD175">
        <f t="shared" si="195"/>
        <v>6.7483017257482425</v>
      </c>
      <c r="BE175" s="43">
        <f t="shared" si="196"/>
        <v>104.63524719659608</v>
      </c>
      <c r="BF175" s="41" t="str">
        <f t="shared" si="197"/>
        <v>9.50194292917768+35.9138766578386i</v>
      </c>
      <c r="BG175" s="20">
        <f t="shared" si="198"/>
        <v>31.399084965904901</v>
      </c>
      <c r="BH175" s="43">
        <f t="shared" si="199"/>
        <v>75.18048496306902</v>
      </c>
      <c r="BI175" s="41" t="str">
        <f t="shared" si="152"/>
        <v>23.9807583091575+140.772661725854i</v>
      </c>
      <c r="BJ175" s="20">
        <f t="shared" si="200"/>
        <v>43.0946022835479</v>
      </c>
      <c r="BK175" s="43">
        <f t="shared" si="153"/>
        <v>80.332412008545532</v>
      </c>
      <c r="BL175">
        <f t="shared" si="201"/>
        <v>31.399084965904901</v>
      </c>
      <c r="BM175" s="43">
        <f t="shared" si="202"/>
        <v>75.18048496306902</v>
      </c>
    </row>
    <row r="176" spans="14:65" x14ac:dyDescent="0.25">
      <c r="N176" s="9">
        <v>58</v>
      </c>
      <c r="O176" s="34">
        <f t="shared" si="154"/>
        <v>380.18939632056163</v>
      </c>
      <c r="P176" s="33" t="str">
        <f t="shared" si="155"/>
        <v>19.6196196196196</v>
      </c>
      <c r="Q176" s="4" t="str">
        <f t="shared" si="156"/>
        <v>1+0.578226001717823i</v>
      </c>
      <c r="R176" s="4">
        <f t="shared" si="168"/>
        <v>1.1551386536094184</v>
      </c>
      <c r="S176" s="4">
        <f t="shared" si="169"/>
        <v>0.52425532593401458</v>
      </c>
      <c r="T176" s="4" t="str">
        <f t="shared" si="157"/>
        <v>1+0.00898188961268967i</v>
      </c>
      <c r="U176" s="4">
        <f t="shared" si="170"/>
        <v>1.0000403363569963</v>
      </c>
      <c r="V176" s="4">
        <f t="shared" si="171"/>
        <v>8.9816480883719279E-3</v>
      </c>
      <c r="W176" t="str">
        <f t="shared" si="158"/>
        <v>1-0.00522550093823369i</v>
      </c>
      <c r="X176" s="4">
        <f t="shared" si="172"/>
        <v>1.0000136528368277</v>
      </c>
      <c r="Y176" s="4">
        <f t="shared" si="173"/>
        <v>-5.2254533767471315E-3</v>
      </c>
      <c r="Z176" t="str">
        <f t="shared" si="159"/>
        <v>0.999999855456023+0.00349788634232786i</v>
      </c>
      <c r="AA176" s="4">
        <f t="shared" si="174"/>
        <v>1.0000059730426267</v>
      </c>
      <c r="AB176" s="4">
        <f t="shared" si="175"/>
        <v>3.4978725822348827E-3</v>
      </c>
      <c r="AC176" s="47" t="str">
        <f t="shared" si="176"/>
        <v>14.7064568599644-8.49858732435535i</v>
      </c>
      <c r="AD176" s="20">
        <f t="shared" si="177"/>
        <v>24.601546385985259</v>
      </c>
      <c r="AE176" s="43">
        <f t="shared" si="178"/>
        <v>-30.022816795505541</v>
      </c>
      <c r="AF176" t="str">
        <f t="shared" si="160"/>
        <v>72.2956529813786</v>
      </c>
      <c r="AG176" t="str">
        <f t="shared" si="161"/>
        <v>1+0.471549204666208i</v>
      </c>
      <c r="AH176">
        <f t="shared" si="179"/>
        <v>1.1056032979425003</v>
      </c>
      <c r="AI176">
        <f t="shared" si="180"/>
        <v>0.44062903411464227</v>
      </c>
      <c r="AJ176" t="str">
        <f t="shared" si="162"/>
        <v>1+0.00898188961268967i</v>
      </c>
      <c r="AK176">
        <f t="shared" si="181"/>
        <v>1.0000403363569963</v>
      </c>
      <c r="AL176">
        <f t="shared" si="182"/>
        <v>8.9816480883719279E-3</v>
      </c>
      <c r="AM176" t="str">
        <f t="shared" si="163"/>
        <v>1-0.00115647303482116i</v>
      </c>
      <c r="AN176">
        <f t="shared" si="183"/>
        <v>1.0000006687147165</v>
      </c>
      <c r="AO176">
        <f t="shared" si="184"/>
        <v>-1.1564725192543762E-3</v>
      </c>
      <c r="AP176" s="41" t="str">
        <f t="shared" si="185"/>
        <v>59.3632480454794-27.4269488009003i</v>
      </c>
      <c r="AQ176">
        <f t="shared" si="186"/>
        <v>36.310613341720355</v>
      </c>
      <c r="AR176" s="43">
        <f t="shared" si="187"/>
        <v>-24.797834451635634</v>
      </c>
      <c r="AS176" t="str">
        <f t="shared" si="164"/>
        <v>-0.0000166666666666667</v>
      </c>
      <c r="AT176" t="str">
        <f t="shared" si="165"/>
        <v>8.12192145828322E-06i</v>
      </c>
      <c r="AU176">
        <f t="shared" si="188"/>
        <v>8.1219214582832205E-6</v>
      </c>
      <c r="AV176">
        <f t="shared" si="189"/>
        <v>1.5707963267948966</v>
      </c>
      <c r="AW176" t="str">
        <f t="shared" si="166"/>
        <v>1+0.0081148955746688i</v>
      </c>
      <c r="AX176">
        <f t="shared" si="190"/>
        <v>1.0000329252230586</v>
      </c>
      <c r="AY176">
        <f t="shared" si="191"/>
        <v>8.1147174556094274E-3</v>
      </c>
      <c r="AZ176" t="str">
        <f t="shared" si="167"/>
        <v>1+0.275906449538739i</v>
      </c>
      <c r="BA176">
        <f t="shared" si="192"/>
        <v>1.037364144790571</v>
      </c>
      <c r="BB176">
        <f t="shared" si="193"/>
        <v>0.26920873437401305</v>
      </c>
      <c r="BC176" s="41" t="str">
        <f t="shared" si="194"/>
        <v>-0.549488036825244+2.05651860944299i</v>
      </c>
      <c r="BD176">
        <f t="shared" si="195"/>
        <v>6.5621379654742675</v>
      </c>
      <c r="BE176" s="43">
        <f t="shared" si="196"/>
        <v>104.95958522554186</v>
      </c>
      <c r="BF176" s="41" t="str">
        <f t="shared" si="197"/>
        <v>9.3964808778761+34.9139742761352i</v>
      </c>
      <c r="BG176" s="20">
        <f t="shared" si="198"/>
        <v>31.163684351459516</v>
      </c>
      <c r="BH176" s="43">
        <f t="shared" si="199"/>
        <v>74.936768430036324</v>
      </c>
      <c r="BI176" s="41" t="str">
        <f t="shared" si="152"/>
        <v>23.7846359812111+137.152404575222i</v>
      </c>
      <c r="BJ176" s="20">
        <f t="shared" si="200"/>
        <v>42.87275130719464</v>
      </c>
      <c r="BK176" s="43">
        <f t="shared" si="153"/>
        <v>80.161750773906235</v>
      </c>
      <c r="BL176">
        <f t="shared" si="201"/>
        <v>31.163684351459516</v>
      </c>
      <c r="BM176" s="43">
        <f t="shared" si="202"/>
        <v>74.936768430036324</v>
      </c>
    </row>
    <row r="177" spans="14:65" x14ac:dyDescent="0.25">
      <c r="N177" s="9">
        <v>59</v>
      </c>
      <c r="O177" s="34">
        <f t="shared" si="154"/>
        <v>389.04514499428063</v>
      </c>
      <c r="P177" s="33" t="str">
        <f t="shared" si="155"/>
        <v>19.6196196196196</v>
      </c>
      <c r="Q177" s="4" t="str">
        <f t="shared" si="156"/>
        <v>1+0.591694615512368i</v>
      </c>
      <c r="R177" s="4">
        <f t="shared" si="168"/>
        <v>1.1619391197590041</v>
      </c>
      <c r="S177" s="4">
        <f t="shared" si="169"/>
        <v>0.53429021783685493</v>
      </c>
      <c r="T177" s="4" t="str">
        <f t="shared" si="157"/>
        <v>1+0.00919110469810464i</v>
      </c>
      <c r="U177" s="4">
        <f t="shared" si="170"/>
        <v>1.0000422373107907</v>
      </c>
      <c r="V177" s="4">
        <f t="shared" si="171"/>
        <v>9.1908459007258355E-3</v>
      </c>
      <c r="W177" t="str">
        <f t="shared" si="158"/>
        <v>1-0.00534721849125105i</v>
      </c>
      <c r="X177" s="4">
        <f t="shared" si="172"/>
        <v>1.0000142962706049</v>
      </c>
      <c r="Y177" s="4">
        <f t="shared" si="173"/>
        <v>-5.3471675282393671E-3</v>
      </c>
      <c r="Z177" t="str">
        <f t="shared" si="159"/>
        <v>0.999999848643875+0.00357936258189866i</v>
      </c>
      <c r="AA177" s="4">
        <f t="shared" si="174"/>
        <v>1.0000062545425732</v>
      </c>
      <c r="AB177" s="4">
        <f t="shared" si="175"/>
        <v>3.5793478376983734E-3</v>
      </c>
      <c r="AC177" s="47" t="str">
        <f t="shared" si="176"/>
        <v>14.5349511271677-8.5950659934427i</v>
      </c>
      <c r="AD177" s="20">
        <f t="shared" si="177"/>
        <v>24.550580899801325</v>
      </c>
      <c r="AE177" s="43">
        <f t="shared" si="178"/>
        <v>-30.597429493137337</v>
      </c>
      <c r="AF177" t="str">
        <f t="shared" si="160"/>
        <v>72.2956529813786</v>
      </c>
      <c r="AG177" t="str">
        <f t="shared" si="161"/>
        <v>1+0.482532996650494i</v>
      </c>
      <c r="AH177">
        <f t="shared" si="179"/>
        <v>1.1103324244821935</v>
      </c>
      <c r="AI177">
        <f t="shared" si="180"/>
        <v>0.44957661733421639</v>
      </c>
      <c r="AJ177" t="str">
        <f t="shared" si="162"/>
        <v>1+0.00919110469810464i</v>
      </c>
      <c r="AK177">
        <f t="shared" si="181"/>
        <v>1.0000422373107907</v>
      </c>
      <c r="AL177">
        <f t="shared" si="182"/>
        <v>9.1908459007258355E-3</v>
      </c>
      <c r="AM177" t="str">
        <f t="shared" si="163"/>
        <v>1-0.00118341075229415i</v>
      </c>
      <c r="AN177">
        <f t="shared" si="183"/>
        <v>1.0000007002302591</v>
      </c>
      <c r="AO177">
        <f t="shared" si="184"/>
        <v>-1.1834101998544088E-3</v>
      </c>
      <c r="AP177" s="41" t="str">
        <f t="shared" si="185"/>
        <v>58.8688721246129-27.8272518130368i</v>
      </c>
      <c r="AQ177">
        <f t="shared" si="186"/>
        <v>36.273556186649117</v>
      </c>
      <c r="AR177" s="43">
        <f t="shared" si="187"/>
        <v>-25.300050470636336</v>
      </c>
      <c r="AS177" t="str">
        <f t="shared" si="164"/>
        <v>-0.0000166666666666667</v>
      </c>
      <c r="AT177" t="str">
        <f t="shared" si="165"/>
        <v>8.31110531211589E-06i</v>
      </c>
      <c r="AU177">
        <f t="shared" si="188"/>
        <v>8.3111053121158908E-6</v>
      </c>
      <c r="AV177">
        <f t="shared" si="189"/>
        <v>1.5707963267948966</v>
      </c>
      <c r="AW177" t="str">
        <f t="shared" si="166"/>
        <v>1+0.00830391577464869i</v>
      </c>
      <c r="AX177">
        <f t="shared" si="190"/>
        <v>1.0000344769142673</v>
      </c>
      <c r="AY177">
        <f t="shared" si="191"/>
        <v>8.3037249169933148E-3</v>
      </c>
      <c r="AZ177" t="str">
        <f t="shared" si="167"/>
        <v>1+0.282333136338055i</v>
      </c>
      <c r="BA177">
        <f t="shared" si="192"/>
        <v>1.0390919111774872</v>
      </c>
      <c r="BB177">
        <f t="shared" si="193"/>
        <v>0.27517090651942738</v>
      </c>
      <c r="BC177" s="41" t="str">
        <f t="shared" si="194"/>
        <v>-0.549486331613846+2.00991188101227i</v>
      </c>
      <c r="BD177">
        <f t="shared" si="195"/>
        <v>6.376579108112443</v>
      </c>
      <c r="BE177" s="43">
        <f t="shared" si="196"/>
        <v>105.29036319637079</v>
      </c>
      <c r="BF177" s="41" t="str">
        <f t="shared" si="197"/>
        <v>9.2885682832511+33.9368422431428i</v>
      </c>
      <c r="BG177" s="20">
        <f t="shared" si="198"/>
        <v>30.92716000791377</v>
      </c>
      <c r="BH177" s="43">
        <f t="shared" si="199"/>
        <v>74.69293370323345</v>
      </c>
      <c r="BI177" s="41" t="str">
        <f t="shared" si="152"/>
        <v>23.5826834449448+133.611940022692i</v>
      </c>
      <c r="BJ177" s="20">
        <f t="shared" si="200"/>
        <v>42.650135294761569</v>
      </c>
      <c r="BK177" s="43">
        <f t="shared" si="153"/>
        <v>79.990312725734455</v>
      </c>
      <c r="BL177">
        <f t="shared" si="201"/>
        <v>30.92716000791377</v>
      </c>
      <c r="BM177" s="43">
        <f t="shared" si="202"/>
        <v>74.69293370323345</v>
      </c>
    </row>
    <row r="178" spans="14:65" x14ac:dyDescent="0.25">
      <c r="N178" s="9">
        <v>60</v>
      </c>
      <c r="O178" s="34">
        <f t="shared" si="154"/>
        <v>398.10717055349761</v>
      </c>
      <c r="P178" s="33" t="str">
        <f t="shared" si="155"/>
        <v>19.6196196196196</v>
      </c>
      <c r="Q178" s="4" t="str">
        <f t="shared" si="156"/>
        <v>1+0.60547695362406i</v>
      </c>
      <c r="R178" s="4">
        <f t="shared" si="168"/>
        <v>1.1690176822314844</v>
      </c>
      <c r="S178" s="4">
        <f t="shared" si="169"/>
        <v>0.54443694302771461</v>
      </c>
      <c r="T178" s="4" t="str">
        <f t="shared" si="157"/>
        <v>1+0.00940519302888917i</v>
      </c>
      <c r="U178" s="4">
        <f t="shared" si="170"/>
        <v>1.000044227849904</v>
      </c>
      <c r="V178" s="4">
        <f t="shared" si="171"/>
        <v>9.4049157231640024E-3</v>
      </c>
      <c r="W178" t="str">
        <f t="shared" si="158"/>
        <v>1-0.00547177121029125i</v>
      </c>
      <c r="X178" s="4">
        <f t="shared" si="172"/>
        <v>1.0000149700280381</v>
      </c>
      <c r="Y178" s="4">
        <f t="shared" si="173"/>
        <v>-5.471716602484529E-3</v>
      </c>
      <c r="Z178" t="str">
        <f t="shared" si="159"/>
        <v>0.999999841510681+0.00366273664688883i</v>
      </c>
      <c r="AA178" s="4">
        <f t="shared" si="174"/>
        <v>1.000006549309119</v>
      </c>
      <c r="AB178" s="4">
        <f t="shared" si="175"/>
        <v>3.6627208481991688E-3</v>
      </c>
      <c r="AC178" s="47" t="str">
        <f t="shared" si="176"/>
        <v>14.3596015468713-8.68910083970739i</v>
      </c>
      <c r="AD178" s="20">
        <f t="shared" si="177"/>
        <v>24.497847348440963</v>
      </c>
      <c r="AE178" s="43">
        <f t="shared" si="178"/>
        <v>-31.178441783029324</v>
      </c>
      <c r="AF178" t="str">
        <f t="shared" si="160"/>
        <v>72.2956529813786</v>
      </c>
      <c r="AG178" t="str">
        <f t="shared" si="161"/>
        <v>1+0.493772634016682i</v>
      </c>
      <c r="AH178">
        <f t="shared" si="179"/>
        <v>1.1152629349636669</v>
      </c>
      <c r="AI178">
        <f t="shared" si="180"/>
        <v>0.45865331712191415</v>
      </c>
      <c r="AJ178" t="str">
        <f t="shared" si="162"/>
        <v>1+0.00940519302888917i</v>
      </c>
      <c r="AK178">
        <f t="shared" si="181"/>
        <v>1.000044227849904</v>
      </c>
      <c r="AL178">
        <f t="shared" si="182"/>
        <v>9.4049157231640024E-3</v>
      </c>
      <c r="AM178" t="str">
        <f t="shared" si="163"/>
        <v>1-0.0012109759298123i</v>
      </c>
      <c r="AN178">
        <f t="shared" si="183"/>
        <v>1.0000007332310825</v>
      </c>
      <c r="AO178">
        <f t="shared" si="184"/>
        <v>-1.210975337862476E-3</v>
      </c>
      <c r="AP178" s="41" t="str">
        <f t="shared" si="185"/>
        <v>58.3601256381265-28.2242266820333i</v>
      </c>
      <c r="AQ178">
        <f t="shared" si="186"/>
        <v>36.235088832906008</v>
      </c>
      <c r="AR178" s="43">
        <f t="shared" si="187"/>
        <v>-25.809421129101462</v>
      </c>
      <c r="AS178" t="str">
        <f t="shared" si="164"/>
        <v>-0.0000166666666666667</v>
      </c>
      <c r="AT178" t="str">
        <f t="shared" si="165"/>
        <v>8.50469582399555E-06i</v>
      </c>
      <c r="AU178">
        <f t="shared" si="188"/>
        <v>8.5046958239955499E-6</v>
      </c>
      <c r="AV178">
        <f t="shared" si="189"/>
        <v>1.5707963267948966</v>
      </c>
      <c r="AW178" t="str">
        <f t="shared" si="166"/>
        <v>1+0.00849733882068759i</v>
      </c>
      <c r="AX178">
        <f t="shared" si="190"/>
        <v>1.0000361017318493</v>
      </c>
      <c r="AY178">
        <f t="shared" si="191"/>
        <v>8.4971343134240384E-3</v>
      </c>
      <c r="AZ178" t="str">
        <f t="shared" si="167"/>
        <v>1+0.288909519903378i</v>
      </c>
      <c r="BA178">
        <f t="shared" si="192"/>
        <v>1.040898030880451</v>
      </c>
      <c r="BB178">
        <f t="shared" si="193"/>
        <v>0.28125124365690868</v>
      </c>
      <c r="BC178" s="41" t="str">
        <f t="shared" si="194"/>
        <v>-0.549484546049651+1.96437083313025i</v>
      </c>
      <c r="BD178">
        <f t="shared" si="195"/>
        <v>6.1916494535234925</v>
      </c>
      <c r="BE178" s="43">
        <f t="shared" si="196"/>
        <v>105.62765931023149</v>
      </c>
      <c r="BF178" s="41" t="str">
        <f t="shared" si="197"/>
        <v>9.17823711821232+32.9821090845323i</v>
      </c>
      <c r="BG178" s="20">
        <f t="shared" si="198"/>
        <v>30.689496801964466</v>
      </c>
      <c r="BH178" s="43">
        <f t="shared" si="199"/>
        <v>74.449217527202194</v>
      </c>
      <c r="BI178" s="41" t="str">
        <f t="shared" ref="BI178:BI241" si="203">IMPRODUCT(AP178,BC178)</f>
        <v>23.3748605381762+130.149705007332i</v>
      </c>
      <c r="BJ178" s="20">
        <f t="shared" si="200"/>
        <v>42.42673828642949</v>
      </c>
      <c r="BK178" s="43">
        <f t="shared" ref="BK178:BK241" si="204">(180/PI())*IMARGUMENT(BI178)</f>
        <v>79.818238181130042</v>
      </c>
      <c r="BL178">
        <f t="shared" si="201"/>
        <v>30.689496801964466</v>
      </c>
      <c r="BM178" s="43">
        <f t="shared" si="202"/>
        <v>74.449217527202194</v>
      </c>
    </row>
    <row r="179" spans="14:65" x14ac:dyDescent="0.25">
      <c r="N179" s="9">
        <v>61</v>
      </c>
      <c r="O179" s="34">
        <f t="shared" si="154"/>
        <v>407.38027780411272</v>
      </c>
      <c r="P179" s="33" t="str">
        <f t="shared" si="155"/>
        <v>19.6196196196196</v>
      </c>
      <c r="Q179" s="4" t="str">
        <f t="shared" si="156"/>
        <v>1+0.619580323631i</v>
      </c>
      <c r="R179" s="4">
        <f t="shared" si="168"/>
        <v>1.1763841963536805</v>
      </c>
      <c r="S179" s="4">
        <f t="shared" si="169"/>
        <v>0.55469252360443944</v>
      </c>
      <c r="T179" s="4" t="str">
        <f t="shared" si="157"/>
        <v>1+0.0096242681175101i</v>
      </c>
      <c r="U179" s="4">
        <f t="shared" si="170"/>
        <v>1.0000463121959891</v>
      </c>
      <c r="V179" s="4">
        <f t="shared" si="171"/>
        <v>9.6239709798153147E-3</v>
      </c>
      <c r="W179" t="str">
        <f t="shared" si="158"/>
        <v>1-0.00559922513485462i</v>
      </c>
      <c r="X179" s="4">
        <f t="shared" si="172"/>
        <v>1.0000156755381941</v>
      </c>
      <c r="Y179" s="4">
        <f t="shared" si="173"/>
        <v>-5.5991666215850387E-3</v>
      </c>
      <c r="Z179" t="str">
        <f t="shared" si="159"/>
        <v>0.999999834041309+0.00374805274333125i</v>
      </c>
      <c r="AA179" s="4">
        <f t="shared" si="174"/>
        <v>1.0000068579674903</v>
      </c>
      <c r="AB179" s="4">
        <f t="shared" si="175"/>
        <v>3.7480358147365515E-3</v>
      </c>
      <c r="AC179" s="47" t="str">
        <f t="shared" si="176"/>
        <v>14.1804695643451-8.78050952907809i</v>
      </c>
      <c r="AD179" s="20">
        <f t="shared" si="177"/>
        <v>24.443306873004641</v>
      </c>
      <c r="AE179" s="43">
        <f t="shared" si="178"/>
        <v>-31.765682860550946</v>
      </c>
      <c r="AF179" t="str">
        <f t="shared" si="160"/>
        <v>72.2956529813786</v>
      </c>
      <c r="AG179" t="str">
        <f t="shared" si="161"/>
        <v>1+0.50527407616928i</v>
      </c>
      <c r="AH179">
        <f t="shared" si="179"/>
        <v>1.1204025580338164</v>
      </c>
      <c r="AI179">
        <f t="shared" si="180"/>
        <v>0.46785796271400432</v>
      </c>
      <c r="AJ179" t="str">
        <f t="shared" si="162"/>
        <v>1+0.0096242681175101i</v>
      </c>
      <c r="AK179">
        <f t="shared" si="181"/>
        <v>1.0000463121959891</v>
      </c>
      <c r="AL179">
        <f t="shared" si="182"/>
        <v>9.6239709798153147E-3</v>
      </c>
      <c r="AM179" t="str">
        <f t="shared" si="163"/>
        <v>1-0.00123918318279759i</v>
      </c>
      <c r="AN179">
        <f t="shared" si="183"/>
        <v>1.0000007677871856</v>
      </c>
      <c r="AO179">
        <f t="shared" si="184"/>
        <v>-1.2391825485119521E-3</v>
      </c>
      <c r="AP179" s="41" t="str">
        <f t="shared" si="185"/>
        <v>57.8369358188718-28.617299123683i</v>
      </c>
      <c r="AQ179">
        <f t="shared" si="186"/>
        <v>36.19517078142556</v>
      </c>
      <c r="AR179" s="43">
        <f t="shared" si="187"/>
        <v>-26.325873685877664</v>
      </c>
      <c r="AS179" t="str">
        <f t="shared" si="164"/>
        <v>-0.0000166666666666667</v>
      </c>
      <c r="AT179" t="str">
        <f t="shared" si="165"/>
        <v>8.70279563817403E-06i</v>
      </c>
      <c r="AU179">
        <f t="shared" si="188"/>
        <v>8.7027956381740301E-6</v>
      </c>
      <c r="AV179">
        <f t="shared" si="189"/>
        <v>1.5707963267948966</v>
      </c>
      <c r="AW179" t="str">
        <f t="shared" si="166"/>
        <v>1+0.00869526726824483i</v>
      </c>
      <c r="AX179">
        <f t="shared" si="190"/>
        <v>1.0000378031218951</v>
      </c>
      <c r="AY179">
        <f t="shared" si="191"/>
        <v>8.695048135211261E-3</v>
      </c>
      <c r="AZ179" t="str">
        <f t="shared" si="167"/>
        <v>1+0.295639087120324i</v>
      </c>
      <c r="BA179">
        <f t="shared" si="192"/>
        <v>1.0427859175465204</v>
      </c>
      <c r="BB179">
        <f t="shared" si="193"/>
        <v>0.28745117061639075</v>
      </c>
      <c r="BC179" s="41" t="str">
        <f t="shared" si="194"/>
        <v>-0.549482676346849+1.9198713192351i</v>
      </c>
      <c r="BD179">
        <f t="shared" si="195"/>
        <v>6.0073740876442292</v>
      </c>
      <c r="BE179" s="43">
        <f t="shared" si="196"/>
        <v>105.97154933160346</v>
      </c>
      <c r="BF179" s="41" t="str">
        <f t="shared" si="197"/>
        <v>9.06552604507614+32.0494146855993i</v>
      </c>
      <c r="BG179" s="20">
        <f t="shared" si="198"/>
        <v>30.450680960648878</v>
      </c>
      <c r="BH179" s="43">
        <f t="shared" si="199"/>
        <v>74.205866471052531</v>
      </c>
      <c r="BI179" s="41" t="str">
        <f t="shared" si="203"/>
        <v>23.1611375360761+126.764184383393i</v>
      </c>
      <c r="BJ179" s="20">
        <f t="shared" si="200"/>
        <v>42.202544869069797</v>
      </c>
      <c r="BK179" s="43">
        <f t="shared" si="204"/>
        <v>79.645675645725817</v>
      </c>
      <c r="BL179">
        <f t="shared" si="201"/>
        <v>30.450680960648878</v>
      </c>
      <c r="BM179" s="43">
        <f t="shared" si="202"/>
        <v>74.205866471052531</v>
      </c>
    </row>
    <row r="180" spans="14:65" x14ac:dyDescent="0.25">
      <c r="N180" s="9">
        <v>62</v>
      </c>
      <c r="O180" s="34">
        <f t="shared" si="154"/>
        <v>416.86938347033572</v>
      </c>
      <c r="P180" s="33" t="str">
        <f t="shared" si="155"/>
        <v>19.6196196196196</v>
      </c>
      <c r="Q180" s="4" t="str">
        <f t="shared" si="156"/>
        <v>1+0.634012203326645i</v>
      </c>
      <c r="R180" s="4">
        <f t="shared" si="168"/>
        <v>1.1840487633400523</v>
      </c>
      <c r="S180" s="4">
        <f t="shared" si="169"/>
        <v>0.56505376758947434</v>
      </c>
      <c r="T180" s="4" t="str">
        <f t="shared" si="157"/>
        <v>1+0.00984844612047919i</v>
      </c>
      <c r="U180" s="4">
        <f t="shared" si="170"/>
        <v>1.0000484947696227</v>
      </c>
      <c r="V180" s="4">
        <f t="shared" si="171"/>
        <v>9.8481277325367742E-3</v>
      </c>
      <c r="W180" t="str">
        <f t="shared" si="158"/>
        <v>1-0.005729647842699i</v>
      </c>
      <c r="X180" s="4">
        <f t="shared" si="172"/>
        <v>1.0000164142974861</v>
      </c>
      <c r="Y180" s="4">
        <f t="shared" si="173"/>
        <v>-5.7295851446566137E-3</v>
      </c>
      <c r="Z180" t="str">
        <f t="shared" si="159"/>
        <v>0.999999826219917+0.00383535610694953i</v>
      </c>
      <c r="AA180" s="4">
        <f t="shared" si="174"/>
        <v>1.0000071811723812</v>
      </c>
      <c r="AB180" s="4">
        <f t="shared" si="175"/>
        <v>3.8353379676405335E-3</v>
      </c>
      <c r="AC180" s="47" t="str">
        <f t="shared" si="176"/>
        <v>13.9976274922511-8.86910996009889i</v>
      </c>
      <c r="AD180" s="20">
        <f t="shared" si="177"/>
        <v>24.386921298635645</v>
      </c>
      <c r="AE180" s="43">
        <f t="shared" si="178"/>
        <v>-32.358969651364575</v>
      </c>
      <c r="AF180" t="str">
        <f t="shared" si="160"/>
        <v>72.2956529813786</v>
      </c>
      <c r="AG180" t="str">
        <f t="shared" si="161"/>
        <v>1+0.517043421325158i</v>
      </c>
      <c r="AH180">
        <f t="shared" si="179"/>
        <v>1.1257592546968578</v>
      </c>
      <c r="AI180">
        <f t="shared" si="180"/>
        <v>0.47718919464967335</v>
      </c>
      <c r="AJ180" t="str">
        <f t="shared" si="162"/>
        <v>1+0.00984844612047919i</v>
      </c>
      <c r="AK180">
        <f t="shared" si="181"/>
        <v>1.0000484947696227</v>
      </c>
      <c r="AL180">
        <f t="shared" si="182"/>
        <v>9.8481277325367742E-3</v>
      </c>
      <c r="AM180" t="str">
        <f t="shared" si="163"/>
        <v>1-0.00126804746710894i</v>
      </c>
      <c r="AN180">
        <f t="shared" si="183"/>
        <v>1.0000008039718662</v>
      </c>
      <c r="AO180">
        <f t="shared" si="184"/>
        <v>-1.2680467874596636E-3</v>
      </c>
      <c r="AP180" s="41" t="str">
        <f t="shared" si="185"/>
        <v>57.2992571954267-29.0058784562276i</v>
      </c>
      <c r="AQ180">
        <f t="shared" si="186"/>
        <v>36.153761368175566</v>
      </c>
      <c r="AR180" s="43">
        <f t="shared" si="187"/>
        <v>-26.849324456639426</v>
      </c>
      <c r="AS180" t="str">
        <f t="shared" si="164"/>
        <v>-0.0000166666666666667</v>
      </c>
      <c r="AT180" t="str">
        <f t="shared" si="165"/>
        <v>8.90550978979501E-06i</v>
      </c>
      <c r="AU180">
        <f t="shared" si="188"/>
        <v>8.9055097897950102E-6</v>
      </c>
      <c r="AV180">
        <f t="shared" si="189"/>
        <v>1.5707963267948966</v>
      </c>
      <c r="AW180" t="str">
        <f t="shared" si="166"/>
        <v>1+0.00889780606160317i</v>
      </c>
      <c r="AX180">
        <f t="shared" si="190"/>
        <v>1.0000395846928809</v>
      </c>
      <c r="AY180">
        <f t="shared" si="191"/>
        <v>8.8975712568292575E-3</v>
      </c>
      <c r="AZ180" t="str">
        <f t="shared" si="167"/>
        <v>1+0.302525406094507i</v>
      </c>
      <c r="BA180">
        <f t="shared" si="192"/>
        <v>1.0447591212009812</v>
      </c>
      <c r="BB180">
        <f t="shared" si="193"/>
        <v>0.2937720673959715</v>
      </c>
      <c r="BC180" s="41" t="str">
        <f t="shared" si="194"/>
        <v>-0.549480718541306+1.87638974499324i</v>
      </c>
      <c r="BD180">
        <f t="shared" si="195"/>
        <v>5.8237788910850981</v>
      </c>
      <c r="BE180" s="43">
        <f t="shared" si="196"/>
        <v>106.32210631968866</v>
      </c>
      <c r="BF180" s="41" t="str">
        <f t="shared" si="197"/>
        <v>8.95048056403129+31.1384095943924i</v>
      </c>
      <c r="BG180" s="20">
        <f t="shared" si="198"/>
        <v>30.21070018972074</v>
      </c>
      <c r="BH180" s="43">
        <f t="shared" si="199"/>
        <v>73.963136668324083</v>
      </c>
      <c r="BI180" s="41" t="str">
        <f t="shared" si="203"/>
        <v>22.9414958641597+123.453909533279i</v>
      </c>
      <c r="BJ180" s="20">
        <f t="shared" si="200"/>
        <v>41.977540259260699</v>
      </c>
      <c r="BK180" s="43">
        <f t="shared" si="204"/>
        <v>79.472781863049264</v>
      </c>
      <c r="BL180">
        <f t="shared" si="201"/>
        <v>30.21070018972074</v>
      </c>
      <c r="BM180" s="43">
        <f t="shared" si="202"/>
        <v>73.963136668324083</v>
      </c>
    </row>
    <row r="181" spans="14:65" x14ac:dyDescent="0.25">
      <c r="N181" s="9">
        <v>63</v>
      </c>
      <c r="O181" s="34">
        <f t="shared" si="154"/>
        <v>426.57951880159294</v>
      </c>
      <c r="P181" s="33" t="str">
        <f t="shared" si="155"/>
        <v>19.6196196196196</v>
      </c>
      <c r="Q181" s="4" t="str">
        <f t="shared" si="156"/>
        <v>1+0.648780244684637i</v>
      </c>
      <c r="R181" s="4">
        <f t="shared" si="168"/>
        <v>1.1920217304617637</v>
      </c>
      <c r="S181" s="4">
        <f t="shared" si="169"/>
        <v>0.57551726963530381</v>
      </c>
      <c r="T181" s="4" t="str">
        <f t="shared" si="157"/>
        <v>1+0.0100778458999409i</v>
      </c>
      <c r="U181" s="4">
        <f t="shared" si="170"/>
        <v>1.0000507801996772</v>
      </c>
      <c r="V181" s="4">
        <f t="shared" si="171"/>
        <v>1.0077504742049648E-2</v>
      </c>
      <c r="W181" t="str">
        <f t="shared" si="158"/>
        <v>1-0.00586310848567043i</v>
      </c>
      <c r="X181" s="4">
        <f t="shared" si="172"/>
        <v>1.0000171878728459</v>
      </c>
      <c r="Y181" s="4">
        <f t="shared" si="173"/>
        <v>-5.8630413035699758E-3</v>
      </c>
      <c r="Z181" t="str">
        <f t="shared" si="159"/>
        <v>0.999999818029914+0.00392469302714265i</v>
      </c>
      <c r="AA181" s="4">
        <f t="shared" si="174"/>
        <v>1.000007519609337</v>
      </c>
      <c r="AB181" s="4">
        <f t="shared" si="175"/>
        <v>3.9246735905307693E-3</v>
      </c>
      <c r="AC181" s="47" t="str">
        <f t="shared" si="176"/>
        <v>13.8111586940173-8.95472100668998i</v>
      </c>
      <c r="AD181" s="20">
        <f t="shared" si="177"/>
        <v>24.32865324644597</v>
      </c>
      <c r="AE181" s="43">
        <f t="shared" si="178"/>
        <v>-32.958106851762388</v>
      </c>
      <c r="AF181" t="str">
        <f t="shared" si="160"/>
        <v>72.2956529813786</v>
      </c>
      <c r="AG181" t="str">
        <f t="shared" si="161"/>
        <v>1+0.529086909746899i</v>
      </c>
      <c r="AH181">
        <f t="shared" si="179"/>
        <v>1.1313412208814471</v>
      </c>
      <c r="AI181">
        <f t="shared" si="180"/>
        <v>0.4866454596644601</v>
      </c>
      <c r="AJ181" t="str">
        <f t="shared" si="162"/>
        <v>1+0.0100778458999409i</v>
      </c>
      <c r="AK181">
        <f t="shared" si="181"/>
        <v>1.0000507801996772</v>
      </c>
      <c r="AL181">
        <f t="shared" si="182"/>
        <v>1.0077504742049648E-2</v>
      </c>
      <c r="AM181" t="str">
        <f t="shared" si="163"/>
        <v>1-0.00129758408697194i</v>
      </c>
      <c r="AN181">
        <f t="shared" si="183"/>
        <v>1.0000008418618771</v>
      </c>
      <c r="AO181">
        <f t="shared" si="184"/>
        <v>-1.2975833587146523E-3</v>
      </c>
      <c r="AP181" s="41" t="str">
        <f t="shared" si="185"/>
        <v>56.7470733056886-29.3893588913715i</v>
      </c>
      <c r="AQ181">
        <f t="shared" si="186"/>
        <v>36.110819843448795</v>
      </c>
      <c r="AR181" s="43">
        <f t="shared" si="187"/>
        <v>-27.379678518255769</v>
      </c>
      <c r="AS181" t="str">
        <f t="shared" si="164"/>
        <v>-0.0000166666666666667</v>
      </c>
      <c r="AT181" t="str">
        <f t="shared" si="165"/>
        <v>9.11294576058488E-06i</v>
      </c>
      <c r="AU181">
        <f t="shared" si="188"/>
        <v>9.1129457605848801E-6</v>
      </c>
      <c r="AV181">
        <f t="shared" si="189"/>
        <v>1.5707963267948966</v>
      </c>
      <c r="AW181" t="str">
        <f t="shared" si="166"/>
        <v>1+0.00910506258951174i</v>
      </c>
      <c r="AX181">
        <f t="shared" si="190"/>
        <v>1.000041450223319</v>
      </c>
      <c r="AY181">
        <f t="shared" si="191"/>
        <v>9.1048109922267518E-3</v>
      </c>
      <c r="AZ181" t="str">
        <f t="shared" si="167"/>
        <v>1+0.309572128043399i</v>
      </c>
      <c r="BA181">
        <f t="shared" si="192"/>
        <v>1.0468213326357647</v>
      </c>
      <c r="BB181">
        <f t="shared" si="193"/>
        <v>0.30021526431445256</v>
      </c>
      <c r="BC181" s="41" t="str">
        <f t="shared" si="194"/>
        <v>-0.549478668482184+1.83390305578884i</v>
      </c>
      <c r="BD181">
        <f t="shared" si="195"/>
        <v>5.640890546172562</v>
      </c>
      <c r="BE181" s="43">
        <f t="shared" si="196"/>
        <v>106.67940034750367</v>
      </c>
      <c r="BF181" s="41" t="str">
        <f t="shared" si="197"/>
        <v>8.83315312852051+30.2487543083284i</v>
      </c>
      <c r="BG181" s="20">
        <f t="shared" si="198"/>
        <v>29.969543792618538</v>
      </c>
      <c r="BH181" s="43">
        <f t="shared" si="199"/>
        <v>73.721293495741293</v>
      </c>
      <c r="BI181" s="41" t="str">
        <f t="shared" si="203"/>
        <v>22.7159287982905+120.217456933551i</v>
      </c>
      <c r="BJ181" s="20">
        <f t="shared" si="200"/>
        <v>41.75171038962133</v>
      </c>
      <c r="BK181" s="43">
        <f t="shared" si="204"/>
        <v>79.299721829247844</v>
      </c>
      <c r="BL181">
        <f t="shared" si="201"/>
        <v>29.969543792618538</v>
      </c>
      <c r="BM181" s="43">
        <f t="shared" si="202"/>
        <v>73.721293495741293</v>
      </c>
    </row>
    <row r="182" spans="14:65" x14ac:dyDescent="0.25">
      <c r="N182" s="9">
        <v>64</v>
      </c>
      <c r="O182" s="34">
        <f t="shared" si="154"/>
        <v>436.51583224016622</v>
      </c>
      <c r="P182" s="33" t="str">
        <f t="shared" si="155"/>
        <v>19.6196196196196</v>
      </c>
      <c r="Q182" s="4" t="str">
        <f t="shared" si="156"/>
        <v>1+0.66389227791598i</v>
      </c>
      <c r="R182" s="4">
        <f t="shared" si="168"/>
        <v>1.200313690947691</v>
      </c>
      <c r="S182" s="4">
        <f t="shared" si="169"/>
        <v>0.5860794126208585</v>
      </c>
      <c r="T182" s="4" t="str">
        <f t="shared" si="157"/>
        <v>1+0.0103125890866949i</v>
      </c>
      <c r="U182" s="4">
        <f t="shared" si="170"/>
        <v>1.0000531733331339</v>
      </c>
      <c r="V182" s="4">
        <f t="shared" si="171"/>
        <v>1.0312223530478046E-2</v>
      </c>
      <c r="W182" t="str">
        <f t="shared" si="158"/>
        <v>1-0.00599967782636836i</v>
      </c>
      <c r="X182" s="4">
        <f t="shared" si="172"/>
        <v>1.0000179979050479</v>
      </c>
      <c r="Y182" s="4">
        <f t="shared" si="173"/>
        <v>-5.9996058395207306E-3</v>
      </c>
      <c r="Z182" t="str">
        <f t="shared" si="159"/>
        <v>0.999999809453928+0.00401611087152821i</v>
      </c>
      <c r="AA182" s="4">
        <f t="shared" si="174"/>
        <v>1.0000078739962122</v>
      </c>
      <c r="AB182" s="4">
        <f t="shared" si="175"/>
        <v>4.0160900448322073E-3</v>
      </c>
      <c r="AC182" s="47" t="str">
        <f t="shared" si="176"/>
        <v>13.6211577099181-9.03716329210112i</v>
      </c>
      <c r="AD182" s="20">
        <f t="shared" si="177"/>
        <v>24.268466247028027</v>
      </c>
      <c r="AE182" s="43">
        <f t="shared" si="178"/>
        <v>-33.56288702004958</v>
      </c>
      <c r="AF182" t="str">
        <f t="shared" si="160"/>
        <v>72.2956529813786</v>
      </c>
      <c r="AG182" t="str">
        <f t="shared" si="161"/>
        <v>1+0.541410927051481i</v>
      </c>
      <c r="AH182">
        <f t="shared" si="179"/>
        <v>1.1371568897609265</v>
      </c>
      <c r="AI182">
        <f t="shared" si="180"/>
        <v>0.4962250060292574</v>
      </c>
      <c r="AJ182" t="str">
        <f t="shared" si="162"/>
        <v>1+0.0103125890866949i</v>
      </c>
      <c r="AK182">
        <f t="shared" si="181"/>
        <v>1.0000531733331339</v>
      </c>
      <c r="AL182">
        <f t="shared" si="182"/>
        <v>1.0312223530478046E-2</v>
      </c>
      <c r="AM182" t="str">
        <f t="shared" si="163"/>
        <v>1-0.0013278087030934i</v>
      </c>
      <c r="AN182">
        <f t="shared" si="183"/>
        <v>1.0000008815375876</v>
      </c>
      <c r="AO182">
        <f t="shared" si="184"/>
        <v>-1.3278079227516946E-3</v>
      </c>
      <c r="AP182" s="41" t="str">
        <f t="shared" si="185"/>
        <v>56.180398362739-29.7671209949653i</v>
      </c>
      <c r="AQ182">
        <f t="shared" si="186"/>
        <v>36.066305455915916</v>
      </c>
      <c r="AR182" s="43">
        <f t="shared" si="187"/>
        <v>-27.916829438616112</v>
      </c>
      <c r="AS182" t="str">
        <f t="shared" si="164"/>
        <v>-0.0000166666666666667</v>
      </c>
      <c r="AT182" t="str">
        <f t="shared" si="165"/>
        <v>9.32521353584112E-06i</v>
      </c>
      <c r="AU182">
        <f t="shared" si="188"/>
        <v>9.3252135358411204E-6</v>
      </c>
      <c r="AV182">
        <f t="shared" si="189"/>
        <v>1.5707963267948966</v>
      </c>
      <c r="AW182" t="str">
        <f t="shared" si="166"/>
        <v>1+0.009317146742125i</v>
      </c>
      <c r="AX182">
        <f t="shared" si="190"/>
        <v>1.0000434036697678</v>
      </c>
      <c r="AY182">
        <f t="shared" si="191"/>
        <v>9.31687715140893E-3</v>
      </c>
      <c r="AZ182" t="str">
        <f t="shared" si="167"/>
        <v>1+0.316782989232249i</v>
      </c>
      <c r="BA182">
        <f t="shared" si="192"/>
        <v>1.0489763878500409</v>
      </c>
      <c r="BB182">
        <f t="shared" si="193"/>
        <v>0.30678203695168843</v>
      </c>
      <c r="BC182" s="41" t="str">
        <f t="shared" si="194"/>
        <v>-0.549476521823143+1.79238872449949i</v>
      </c>
      <c r="BD182">
        <f t="shared" si="195"/>
        <v>5.4587365422662257</v>
      </c>
      <c r="BE182" s="43">
        <f t="shared" si="196"/>
        <v>107.04349820874059</v>
      </c>
      <c r="BF182" s="41" t="str">
        <f t="shared" si="197"/>
        <v>8.71360322457245+29.380118546778i</v>
      </c>
      <c r="BG182" s="20">
        <f t="shared" si="198"/>
        <v>29.727202789294253</v>
      </c>
      <c r="BH182" s="43">
        <f t="shared" si="199"/>
        <v>73.480611188691014</v>
      </c>
      <c r="BI182" s="41" t="str">
        <f t="shared" si="203"/>
        <v>22.4844421451914+117.053446672265i</v>
      </c>
      <c r="BJ182" s="20">
        <f t="shared" si="200"/>
        <v>41.525041998182132</v>
      </c>
      <c r="BK182" s="43">
        <f t="shared" si="204"/>
        <v>79.126668770124482</v>
      </c>
      <c r="BL182">
        <f t="shared" si="201"/>
        <v>29.727202789294253</v>
      </c>
      <c r="BM182" s="43">
        <f t="shared" si="202"/>
        <v>73.480611188691014</v>
      </c>
    </row>
    <row r="183" spans="14:65" x14ac:dyDescent="0.25">
      <c r="N183" s="9">
        <v>65</v>
      </c>
      <c r="O183" s="34">
        <f t="shared" si="154"/>
        <v>446.68359215096331</v>
      </c>
      <c r="P183" s="33" t="str">
        <f t="shared" si="155"/>
        <v>19.6196196196196</v>
      </c>
      <c r="Q183" s="4" t="str">
        <f t="shared" si="156"/>
        <v>1+0.67935631562073i</v>
      </c>
      <c r="R183" s="4">
        <f t="shared" si="168"/>
        <v>1.2089354836275477</v>
      </c>
      <c r="S183" s="4">
        <f t="shared" si="169"/>
        <v>0.59673637017277403</v>
      </c>
      <c r="T183" s="4" t="str">
        <f t="shared" si="157"/>
        <v>1+0.0105528001446858i</v>
      </c>
      <c r="U183" s="4">
        <f t="shared" si="170"/>
        <v>1.0000556792453577</v>
      </c>
      <c r="V183" s="4">
        <f t="shared" si="171"/>
        <v>1.0552408445320125E-2</v>
      </c>
      <c r="W183" t="str">
        <f t="shared" si="158"/>
        <v>1-0.00613942827566497i</v>
      </c>
      <c r="X183" s="4">
        <f t="shared" si="172"/>
        <v>1.0000188461121879</v>
      </c>
      <c r="Y183" s="4">
        <f t="shared" si="173"/>
        <v>-6.1393511404465228E-3</v>
      </c>
      <c r="Z183" t="str">
        <f t="shared" si="159"/>
        <v>0.999999800473768+0.00410965811105737i</v>
      </c>
      <c r="AA183" s="4">
        <f t="shared" si="174"/>
        <v>1.0000082450846921</v>
      </c>
      <c r="AB183" s="4">
        <f t="shared" si="175"/>
        <v>4.1096357948604764E-3</v>
      </c>
      <c r="AC183" s="47" t="str">
        <f t="shared" si="176"/>
        <v>13.4277303214846-9.11625998926259i</v>
      </c>
      <c r="AD183" s="20">
        <f t="shared" si="177"/>
        <v>24.206324854946697</v>
      </c>
      <c r="AE183" s="43">
        <f t="shared" si="178"/>
        <v>-34.173090720919092</v>
      </c>
      <c r="AF183" t="str">
        <f t="shared" si="160"/>
        <v>72.2956529813786</v>
      </c>
      <c r="AG183" t="str">
        <f t="shared" si="161"/>
        <v>1+0.554022007596007i</v>
      </c>
      <c r="AH183">
        <f t="shared" si="179"/>
        <v>1.1432149338163449</v>
      </c>
      <c r="AI183">
        <f t="shared" si="180"/>
        <v>0.50592587939008227</v>
      </c>
      <c r="AJ183" t="str">
        <f t="shared" si="162"/>
        <v>1+0.0105528001446858i</v>
      </c>
      <c r="AK183">
        <f t="shared" si="181"/>
        <v>1.0000556792453577</v>
      </c>
      <c r="AL183">
        <f t="shared" si="182"/>
        <v>1.0552408445320125E-2</v>
      </c>
      <c r="AM183" t="str">
        <f t="shared" si="163"/>
        <v>1-0.00135873734096488i</v>
      </c>
      <c r="AN183">
        <f t="shared" si="183"/>
        <v>1.0000009230831548</v>
      </c>
      <c r="AO183">
        <f t="shared" si="184"/>
        <v>-1.3587365048137196E-3</v>
      </c>
      <c r="AP183" s="41" t="str">
        <f t="shared" si="185"/>
        <v>55.5992788561253-30.138533318814i</v>
      </c>
      <c r="AQ183">
        <f t="shared" si="186"/>
        <v>36.02017754128228</v>
      </c>
      <c r="AR183" s="43">
        <f t="shared" si="187"/>
        <v>-28.460659035077605</v>
      </c>
      <c r="AS183" t="str">
        <f t="shared" si="164"/>
        <v>-0.0000166666666666667</v>
      </c>
      <c r="AT183" t="str">
        <f t="shared" si="165"/>
        <v>9.54242566274785E-06i</v>
      </c>
      <c r="AU183">
        <f t="shared" si="188"/>
        <v>9.5424256627478501E-6</v>
      </c>
      <c r="AV183">
        <f t="shared" si="189"/>
        <v>1.5707963267948966</v>
      </c>
      <c r="AW183" t="str">
        <f t="shared" si="166"/>
        <v>1+0.00953417096926797i</v>
      </c>
      <c r="AX183">
        <f t="shared" si="190"/>
        <v>1.0000454491752218</v>
      </c>
      <c r="AY183">
        <f t="shared" si="191"/>
        <v>9.5338820983202326E-3</v>
      </c>
      <c r="AZ183" t="str">
        <f t="shared" si="167"/>
        <v>1+0.32416181295511i</v>
      </c>
      <c r="BA183">
        <f t="shared" si="192"/>
        <v>1.051228272535677</v>
      </c>
      <c r="BB183">
        <f t="shared" si="193"/>
        <v>0.31347360087939025</v>
      </c>
      <c r="BC183" s="41" t="str">
        <f t="shared" si="194"/>
        <v>-0.54947427401316+1.7518247395514i</v>
      </c>
      <c r="BD183">
        <f t="shared" si="195"/>
        <v>5.277345179172598</v>
      </c>
      <c r="BE183" s="43">
        <f t="shared" si="196"/>
        <v>107.41446311254848</v>
      </c>
      <c r="BF183" s="41" t="str">
        <f t="shared" si="197"/>
        <v>8.59189741133054+28.5321805125165i</v>
      </c>
      <c r="BG183" s="20">
        <f t="shared" si="198"/>
        <v>29.483670034119307</v>
      </c>
      <c r="BH183" s="43">
        <f t="shared" si="199"/>
        <v>73.241372391629397</v>
      </c>
      <c r="BI183" s="41" t="str">
        <f t="shared" si="203"/>
        <v>22.2470548965678+113.960540916554i</v>
      </c>
      <c r="BJ183" s="20">
        <f t="shared" si="200"/>
        <v>41.297522720454864</v>
      </c>
      <c r="BK183" s="43">
        <f t="shared" si="204"/>
        <v>78.953804077470878</v>
      </c>
      <c r="BL183">
        <f t="shared" si="201"/>
        <v>29.483670034119307</v>
      </c>
      <c r="BM183" s="43">
        <f t="shared" si="202"/>
        <v>73.241372391629397</v>
      </c>
    </row>
    <row r="184" spans="14:65" x14ac:dyDescent="0.25">
      <c r="N184" s="9">
        <v>66</v>
      </c>
      <c r="O184" s="34">
        <f t="shared" ref="O184:O218" si="205">10^(2+(N184/100))</f>
        <v>457.0881896148756</v>
      </c>
      <c r="P184" s="33" t="str">
        <f t="shared" si="155"/>
        <v>19.6196196196196</v>
      </c>
      <c r="Q184" s="4" t="str">
        <f t="shared" si="156"/>
        <v>1+0.695180557036365i</v>
      </c>
      <c r="R184" s="4">
        <f t="shared" si="168"/>
        <v>1.2178981923302912</v>
      </c>
      <c r="S184" s="4">
        <f t="shared" si="169"/>
        <v>0.60748411013935788</v>
      </c>
      <c r="T184" s="4" t="str">
        <f t="shared" si="157"/>
        <v>1+0.0107986064369963i</v>
      </c>
      <c r="U184" s="4">
        <f t="shared" si="170"/>
        <v>1.0000583032508561</v>
      </c>
      <c r="V184" s="4">
        <f t="shared" si="171"/>
        <v>1.0798186724885677E-2</v>
      </c>
      <c r="W184" t="str">
        <f t="shared" si="158"/>
        <v>1-0.00628243393109828i</v>
      </c>
      <c r="X184" s="4">
        <f t="shared" si="172"/>
        <v>1.0000197342933281</v>
      </c>
      <c r="Y184" s="4">
        <f t="shared" si="173"/>
        <v>-6.2823512793106903E-3</v>
      </c>
      <c r="Z184" t="str">
        <f t="shared" si="159"/>
        <v>0.999999791070387+0.00420538434571477i</v>
      </c>
      <c r="AA184" s="4">
        <f t="shared" si="174"/>
        <v>1.0000086336618863</v>
      </c>
      <c r="AB184" s="4">
        <f t="shared" si="175"/>
        <v>4.205360433490124E-3</v>
      </c>
      <c r="AC184" s="47" t="str">
        <f t="shared" si="176"/>
        <v>13.230993550289-9.19183764212352i</v>
      </c>
      <c r="AD184" s="20">
        <f t="shared" si="177"/>
        <v>24.142194763562106</v>
      </c>
      <c r="AE184" s="43">
        <f t="shared" si="178"/>
        <v>-34.788486724408848</v>
      </c>
      <c r="AF184" t="str">
        <f t="shared" si="160"/>
        <v>72.2956529813786</v>
      </c>
      <c r="AG184" t="str">
        <f t="shared" si="161"/>
        <v>1+0.566926837942309i</v>
      </c>
      <c r="AH184">
        <f t="shared" si="179"/>
        <v>1.1495242666334908</v>
      </c>
      <c r="AI184">
        <f t="shared" si="180"/>
        <v>0.51574591916407519</v>
      </c>
      <c r="AJ184" t="str">
        <f t="shared" si="162"/>
        <v>1+0.0107986064369963i</v>
      </c>
      <c r="AK184">
        <f t="shared" si="181"/>
        <v>1.0000583032508561</v>
      </c>
      <c r="AL184">
        <f t="shared" si="182"/>
        <v>1.0798186724885677E-2</v>
      </c>
      <c r="AM184" t="str">
        <f t="shared" si="163"/>
        <v>1-0.00139038639935954i</v>
      </c>
      <c r="AN184">
        <f t="shared" si="183"/>
        <v>1.0000009665867027</v>
      </c>
      <c r="AO184">
        <f t="shared" si="184"/>
        <v>-1.3903855034074761E-3</v>
      </c>
      <c r="AP184" s="41" t="str">
        <f t="shared" si="185"/>
        <v>55.0037950709231-30.5029542033718i</v>
      </c>
      <c r="AQ184">
        <f t="shared" si="186"/>
        <v>35.972395615342244</v>
      </c>
      <c r="AR184" s="43">
        <f t="shared" si="187"/>
        <v>-29.011037164708146</v>
      </c>
      <c r="AS184" t="str">
        <f t="shared" si="164"/>
        <v>-0.0000166666666666667</v>
      </c>
      <c r="AT184" t="str">
        <f t="shared" si="165"/>
        <v>9.76469731004991E-06i</v>
      </c>
      <c r="AU184">
        <f t="shared" si="188"/>
        <v>9.7646973100499102E-6</v>
      </c>
      <c r="AV184">
        <f t="shared" si="189"/>
        <v>1.5707963267948966</v>
      </c>
      <c r="AW184" t="str">
        <f t="shared" si="166"/>
        <v>1+0.00975625034005852i</v>
      </c>
      <c r="AX184">
        <f t="shared" si="190"/>
        <v>1.0000475910778936</v>
      </c>
      <c r="AY184">
        <f t="shared" si="191"/>
        <v>9.7559408100568543E-3</v>
      </c>
      <c r="AZ184" t="str">
        <f t="shared" si="167"/>
        <v>1+0.331712511561989i</v>
      </c>
      <c r="BA184">
        <f t="shared" si="192"/>
        <v>1.0535811265995432</v>
      </c>
      <c r="BB184">
        <f t="shared" si="193"/>
        <v>0.32029110618650231</v>
      </c>
      <c r="BC184" s="41" t="str">
        <f t="shared" si="194"/>
        <v>-0.549471920286864+1.71218959324799i</v>
      </c>
      <c r="BD184">
        <f t="shared" si="195"/>
        <v>5.0967455684717136</v>
      </c>
      <c r="BE184" s="43">
        <f t="shared" si="196"/>
        <v>107.79235436646738</v>
      </c>
      <c r="BF184" s="41" t="str">
        <f t="shared" si="197"/>
        <v>8.46810932028862+27.7046261453188i</v>
      </c>
      <c r="BG184" s="20">
        <f t="shared" si="198"/>
        <v>29.23894033203382</v>
      </c>
      <c r="BH184" s="43">
        <f t="shared" si="199"/>
        <v>73.003867642058552</v>
      </c>
      <c r="BI184" s="41" t="str">
        <f t="shared" si="203"/>
        <v>22.003799849648+110.937442330129i</v>
      </c>
      <c r="BJ184" s="20">
        <f t="shared" si="200"/>
        <v>41.069141183813983</v>
      </c>
      <c r="BK184" s="43">
        <f t="shared" si="204"/>
        <v>78.781317201759265</v>
      </c>
      <c r="BL184">
        <f t="shared" si="201"/>
        <v>29.23894033203382</v>
      </c>
      <c r="BM184" s="43">
        <f t="shared" si="202"/>
        <v>73.003867642058552</v>
      </c>
    </row>
    <row r="185" spans="14:65" x14ac:dyDescent="0.25">
      <c r="N185" s="9">
        <v>67</v>
      </c>
      <c r="O185" s="34">
        <f t="shared" si="205"/>
        <v>467.7351412871983</v>
      </c>
      <c r="P185" s="33" t="str">
        <f t="shared" si="155"/>
        <v>19.6196196196196</v>
      </c>
      <c r="Q185" s="4" t="str">
        <f t="shared" si="156"/>
        <v>1+0.711373392385143i</v>
      </c>
      <c r="R185" s="4">
        <f t="shared" si="168"/>
        <v>1.2272131450540882</v>
      </c>
      <c r="S185" s="4">
        <f t="shared" si="169"/>
        <v>0.61831839903848973</v>
      </c>
      <c r="T185" s="4" t="str">
        <f t="shared" si="157"/>
        <v>1+0.0110501382933762i</v>
      </c>
      <c r="U185" s="4">
        <f t="shared" si="170"/>
        <v>1.0000610509145442</v>
      </c>
      <c r="V185" s="4">
        <f t="shared" si="171"/>
        <v>1.1049688565229811E-2</v>
      </c>
      <c r="W185" t="str">
        <f t="shared" si="158"/>
        <v>1-0.0064287706161597i</v>
      </c>
      <c r="X185" s="4">
        <f t="shared" si="172"/>
        <v>1.0000206643323104</v>
      </c>
      <c r="Y185" s="4">
        <f t="shared" si="173"/>
        <v>-6.4286820532725251E-3</v>
      </c>
      <c r="Z185" t="str">
        <f t="shared" si="159"/>
        <v>0.999999781223838+0.0043033403308171i</v>
      </c>
      <c r="AA185" s="4">
        <f t="shared" si="174"/>
        <v>1.0000090405519975</v>
      </c>
      <c r="AB185" s="4">
        <f t="shared" si="175"/>
        <v>4.3033147084192685E-3</v>
      </c>
      <c r="AC185" s="47" t="str">
        <f t="shared" si="176"/>
        <v>13.0310755876536-9.26372700199491i</v>
      </c>
      <c r="AD185" s="20">
        <f t="shared" si="177"/>
        <v>24.076042919494927</v>
      </c>
      <c r="AE185" s="43">
        <f t="shared" si="178"/>
        <v>-35.408832260662628</v>
      </c>
      <c r="AF185" t="str">
        <f t="shared" si="160"/>
        <v>72.2956529813786</v>
      </c>
      <c r="AG185" t="str">
        <f t="shared" si="161"/>
        <v>1+0.580132260402251i</v>
      </c>
      <c r="AH185">
        <f t="shared" si="179"/>
        <v>1.1560940444269339</v>
      </c>
      <c r="AI185">
        <f t="shared" si="180"/>
        <v>0.52568275554677801</v>
      </c>
      <c r="AJ185" t="str">
        <f t="shared" si="162"/>
        <v>1+0.0110501382933762i</v>
      </c>
      <c r="AK185">
        <f t="shared" si="181"/>
        <v>1.0000610509145442</v>
      </c>
      <c r="AL185">
        <f t="shared" si="182"/>
        <v>1.1049688565229811E-2</v>
      </c>
      <c r="AM185" t="str">
        <f t="shared" si="163"/>
        <v>1-0.00142277265902709i</v>
      </c>
      <c r="AN185">
        <f t="shared" si="183"/>
        <v>1.0000010121405074</v>
      </c>
      <c r="AO185">
        <f t="shared" si="184"/>
        <v>-1.4227716989972095E-3</v>
      </c>
      <c r="AP185" s="41" t="str">
        <f t="shared" si="185"/>
        <v>54.394062506327-30.8597337492311i</v>
      </c>
      <c r="AQ185">
        <f t="shared" si="186"/>
        <v>35.922919471174481</v>
      </c>
      <c r="AR185" s="43">
        <f t="shared" si="187"/>
        <v>-29.567821549479341</v>
      </c>
      <c r="AS185" t="str">
        <f t="shared" si="164"/>
        <v>-0.0000166666666666667</v>
      </c>
      <c r="AT185" t="str">
        <f t="shared" si="165"/>
        <v>9.99214632911679E-06i</v>
      </c>
      <c r="AU185">
        <f t="shared" si="188"/>
        <v>9.9921463291167892E-6</v>
      </c>
      <c r="AV185">
        <f t="shared" si="189"/>
        <v>1.5707963267948966</v>
      </c>
      <c r="AW185" t="str">
        <f t="shared" si="166"/>
        <v>1+0.0099835026039186i</v>
      </c>
      <c r="AX185">
        <f t="shared" si="190"/>
        <v>1.0000498339204114</v>
      </c>
      <c r="AY185">
        <f t="shared" si="191"/>
        <v>9.9831709374388865E-3</v>
      </c>
      <c r="AZ185" t="str">
        <f t="shared" si="167"/>
        <v>1+0.339439088533232i</v>
      </c>
      <c r="BA185">
        <f t="shared" si="192"/>
        <v>1.0560392487139252</v>
      </c>
      <c r="BB185">
        <f t="shared" si="193"/>
        <v>0.32723563180500692</v>
      </c>
      <c r="BC185" s="41" t="str">
        <f t="shared" si="194"/>
        <v>-0.549469455654481+1.6734622703656i</v>
      </c>
      <c r="BD185">
        <f t="shared" si="195"/>
        <v>4.916967632565524</v>
      </c>
      <c r="BE185" s="43">
        <f t="shared" si="196"/>
        <v>108.17722704785098</v>
      </c>
      <c r="BF185" s="41" t="str">
        <f t="shared" si="197"/>
        <v>8.3423196110651+26.8971483713384i</v>
      </c>
      <c r="BG185" s="20">
        <f t="shared" si="198"/>
        <v>28.993010552060454</v>
      </c>
      <c r="BH185" s="43">
        <f t="shared" si="199"/>
        <v>72.768394787188356</v>
      </c>
      <c r="BI185" s="41" t="str">
        <f t="shared" si="203"/>
        <v>21.7547241866789+107.982892441079i</v>
      </c>
      <c r="BJ185" s="20">
        <f t="shared" si="200"/>
        <v>40.83988710374004</v>
      </c>
      <c r="BK185" s="43">
        <f t="shared" si="204"/>
        <v>78.609405498371686</v>
      </c>
      <c r="BL185">
        <f t="shared" si="201"/>
        <v>28.993010552060454</v>
      </c>
      <c r="BM185" s="43">
        <f t="shared" si="202"/>
        <v>72.768394787188356</v>
      </c>
    </row>
    <row r="186" spans="14:65" x14ac:dyDescent="0.25">
      <c r="N186" s="9">
        <v>68</v>
      </c>
      <c r="O186" s="34">
        <f t="shared" si="205"/>
        <v>478.63009232263886</v>
      </c>
      <c r="P186" s="33" t="str">
        <f t="shared" si="155"/>
        <v>19.6196196196196</v>
      </c>
      <c r="Q186" s="4" t="str">
        <f t="shared" si="156"/>
        <v>1+0.727943407322704i</v>
      </c>
      <c r="R186" s="4">
        <f t="shared" si="168"/>
        <v>1.2368919129271516</v>
      </c>
      <c r="S186" s="4">
        <f t="shared" si="169"/>
        <v>0.62923480749326821</v>
      </c>
      <c r="T186" s="4" t="str">
        <f t="shared" si="157"/>
        <v>1+0.0113075290793451i</v>
      </c>
      <c r="U186" s="4">
        <f t="shared" si="170"/>
        <v>1.0000639280635415</v>
      </c>
      <c r="V186" s="4">
        <f t="shared" si="171"/>
        <v>1.1307047188617837E-2</v>
      </c>
      <c r="W186" t="str">
        <f t="shared" si="158"/>
        <v>1-0.00657851592049665i</v>
      </c>
      <c r="X186" s="4">
        <f t="shared" si="172"/>
        <v>1.0000216382017522</v>
      </c>
      <c r="Y186" s="4">
        <f t="shared" si="173"/>
        <v>-6.5784210237642138E-3</v>
      </c>
      <c r="Z186" t="str">
        <f t="shared" si="159"/>
        <v>0.999999770913235+0.00440357800392428i</v>
      </c>
      <c r="AA186" s="4">
        <f t="shared" si="174"/>
        <v>1.000009466618071</v>
      </c>
      <c r="AB186" s="4">
        <f t="shared" si="175"/>
        <v>4.4035505490443933E-3</v>
      </c>
      <c r="AC186" s="47" t="str">
        <f t="shared" si="176"/>
        <v>12.8281156524362-9.33176387238957i</v>
      </c>
      <c r="AD186" s="20">
        <f t="shared" si="177"/>
        <v>24.007837636016099</v>
      </c>
      <c r="AE186" s="43">
        <f t="shared" si="178"/>
        <v>-36.033873331282678</v>
      </c>
      <c r="AF186" t="str">
        <f t="shared" si="160"/>
        <v>72.2956529813786</v>
      </c>
      <c r="AG186" t="str">
        <f t="shared" si="161"/>
        <v>1+0.593645276665617i</v>
      </c>
      <c r="AH186">
        <f t="shared" si="179"/>
        <v>1.1629336672860566</v>
      </c>
      <c r="AI186">
        <f t="shared" si="180"/>
        <v>0.53573380718475982</v>
      </c>
      <c r="AJ186" t="str">
        <f t="shared" si="162"/>
        <v>1+0.0113075290793451i</v>
      </c>
      <c r="AK186">
        <f t="shared" si="181"/>
        <v>1.0000639280635415</v>
      </c>
      <c r="AL186">
        <f t="shared" si="182"/>
        <v>1.1307047188617837E-2</v>
      </c>
      <c r="AM186" t="str">
        <f t="shared" si="163"/>
        <v>1-0.00145591329159108i</v>
      </c>
      <c r="AN186">
        <f t="shared" si="183"/>
        <v>1.0000010598411948</v>
      </c>
      <c r="AO186">
        <f t="shared" si="184"/>
        <v>-1.4559122629005882E-3</v>
      </c>
      <c r="AP186" s="41" t="str">
        <f t="shared" si="185"/>
        <v>53.7702331751013-31.2082159533104i</v>
      </c>
      <c r="AQ186">
        <f t="shared" si="186"/>
        <v>35.871709280169696</v>
      </c>
      <c r="AR186" s="43">
        <f t="shared" si="187"/>
        <v>-30.130857639504633</v>
      </c>
      <c r="AS186" t="str">
        <f t="shared" si="164"/>
        <v>-0.0000166666666666667</v>
      </c>
      <c r="AT186" t="str">
        <f t="shared" si="165"/>
        <v>0.0000102248933164291i</v>
      </c>
      <c r="AU186">
        <f t="shared" si="188"/>
        <v>1.02248933164291E-5</v>
      </c>
      <c r="AV186">
        <f t="shared" si="189"/>
        <v>1.5707963267948966</v>
      </c>
      <c r="AW186" t="str">
        <f t="shared" si="166"/>
        <v>1+0.0102160482530066i</v>
      </c>
      <c r="AX186">
        <f t="shared" si="190"/>
        <v>1.0000521824594493</v>
      </c>
      <c r="AY186">
        <f t="shared" si="191"/>
        <v>1.0215692866972222E-2</v>
      </c>
      <c r="AZ186" t="str">
        <f t="shared" si="167"/>
        <v>1+0.347345640602223i</v>
      </c>
      <c r="BA186">
        <f t="shared" si="192"/>
        <v>1.0586071008855782</v>
      </c>
      <c r="BB186">
        <f t="shared" si="193"/>
        <v>0.33430817964378234</v>
      </c>
      <c r="BC186" s="41" t="str">
        <f t="shared" si="194"/>
        <v>-0.549466874891248+1.63562223701022i</v>
      </c>
      <c r="BD186">
        <f t="shared" si="195"/>
        <v>4.7380421012511924</v>
      </c>
      <c r="BE186" s="43">
        <f t="shared" si="196"/>
        <v>108.56913166421063</v>
      </c>
      <c r="BF186" s="41" t="str">
        <f t="shared" si="197"/>
        <v>8.21461588192136+26.1094463522485i</v>
      </c>
      <c r="BG186" s="20">
        <f t="shared" si="198"/>
        <v>28.745879737267302</v>
      </c>
      <c r="BH186" s="43">
        <f t="shared" si="199"/>
        <v>72.535258332927995</v>
      </c>
      <c r="BI186" s="41" t="str">
        <f t="shared" si="203"/>
        <v>21.499890005755+105.095669961217i</v>
      </c>
      <c r="BJ186" s="20">
        <f t="shared" si="200"/>
        <v>40.609751381420899</v>
      </c>
      <c r="BK186" s="43">
        <f t="shared" si="204"/>
        <v>78.43827402470599</v>
      </c>
      <c r="BL186">
        <f t="shared" si="201"/>
        <v>28.745879737267302</v>
      </c>
      <c r="BM186" s="43">
        <f t="shared" si="202"/>
        <v>72.535258332927995</v>
      </c>
    </row>
    <row r="187" spans="14:65" x14ac:dyDescent="0.25">
      <c r="N187" s="9">
        <v>69</v>
      </c>
      <c r="O187" s="34">
        <f t="shared" si="205"/>
        <v>489.77881936844625</v>
      </c>
      <c r="P187" s="33" t="str">
        <f t="shared" si="155"/>
        <v>19.6196196196196</v>
      </c>
      <c r="Q187" s="4" t="str">
        <f t="shared" si="156"/>
        <v>1+0.744899387490299i</v>
      </c>
      <c r="R187" s="4">
        <f t="shared" si="168"/>
        <v>1.2469463089818353</v>
      </c>
      <c r="S187" s="4">
        <f t="shared" si="169"/>
        <v>0.64022871666134851</v>
      </c>
      <c r="T187" s="4" t="str">
        <f t="shared" si="157"/>
        <v>1+0.0115709152669047i</v>
      </c>
      <c r="U187" s="4">
        <f t="shared" si="170"/>
        <v>1.0000669407995215</v>
      </c>
      <c r="V187" s="4">
        <f t="shared" si="171"/>
        <v>1.157039891355411E-2</v>
      </c>
      <c r="W187" t="str">
        <f t="shared" si="158"/>
        <v>1-0.00673174924105161i</v>
      </c>
      <c r="X187" s="4">
        <f t="shared" si="172"/>
        <v>1.0000226579672304</v>
      </c>
      <c r="Y187" s="4">
        <f t="shared" si="173"/>
        <v>-6.73164755749523E-3</v>
      </c>
      <c r="Z187" t="str">
        <f t="shared" si="159"/>
        <v>0.999999760116708+0.0045061505123774i</v>
      </c>
      <c r="AA187" s="4">
        <f t="shared" si="174"/>
        <v>1.0000099127638253</v>
      </c>
      <c r="AB187" s="4">
        <f t="shared" si="175"/>
        <v>4.5061210939593265E-3</v>
      </c>
      <c r="AC187" s="47" t="str">
        <f t="shared" si="176"/>
        <v>12.6222637747167-9.39578995538954i</v>
      </c>
      <c r="AD187" s="20">
        <f t="shared" si="177"/>
        <v>23.93754870461543</v>
      </c>
      <c r="AE187" s="43">
        <f t="shared" si="178"/>
        <v>-36.663345077615666</v>
      </c>
      <c r="AF187" t="str">
        <f t="shared" si="160"/>
        <v>72.2956529813786</v>
      </c>
      <c r="AG187" t="str">
        <f t="shared" si="161"/>
        <v>1+0.607473051512496i</v>
      </c>
      <c r="AH187">
        <f t="shared" si="179"/>
        <v>1.1700527801402394</v>
      </c>
      <c r="AI187">
        <f t="shared" si="180"/>
        <v>0.54589627956597442</v>
      </c>
      <c r="AJ187" t="str">
        <f t="shared" si="162"/>
        <v>1+0.0115709152669047i</v>
      </c>
      <c r="AK187">
        <f t="shared" si="181"/>
        <v>1.0000669407995215</v>
      </c>
      <c r="AL187">
        <f t="shared" si="182"/>
        <v>1.157039891355411E-2</v>
      </c>
      <c r="AM187" t="str">
        <f t="shared" si="163"/>
        <v>1-0.00148982586865356i</v>
      </c>
      <c r="AN187">
        <f t="shared" si="183"/>
        <v>1.0000011097899437</v>
      </c>
      <c r="AO187">
        <f t="shared" si="184"/>
        <v>-1.4898247663919051E-3</v>
      </c>
      <c r="AP187" s="41" t="str">
        <f t="shared" si="185"/>
        <v>53.1324967650242-31.5477410035169i</v>
      </c>
      <c r="AQ187">
        <f t="shared" si="186"/>
        <v>35.818725696529029</v>
      </c>
      <c r="AR187" s="43">
        <f t="shared" si="187"/>
        <v>-30.699978517322972</v>
      </c>
      <c r="AS187" t="str">
        <f t="shared" si="164"/>
        <v>-0.0000166666666666667</v>
      </c>
      <c r="AT187" t="str">
        <f t="shared" si="165"/>
        <v>0.0000104630616775202i</v>
      </c>
      <c r="AU187">
        <f t="shared" si="188"/>
        <v>1.0463061677520201E-5</v>
      </c>
      <c r="AV187">
        <f t="shared" si="189"/>
        <v>1.5707963267948966</v>
      </c>
      <c r="AW187" t="str">
        <f t="shared" si="166"/>
        <v>1+0.0104540105861037i</v>
      </c>
      <c r="AX187">
        <f t="shared" si="190"/>
        <v>1.0000546416758109</v>
      </c>
      <c r="AY187">
        <f t="shared" si="191"/>
        <v>1.0453629784230783E-2</v>
      </c>
      <c r="AZ187" t="str">
        <f t="shared" si="167"/>
        <v>1+0.355436359927524i</v>
      </c>
      <c r="BA187">
        <f t="shared" si="192"/>
        <v>1.0612893130332222</v>
      </c>
      <c r="BB187">
        <f t="shared" si="193"/>
        <v>0.34150966854013226</v>
      </c>
      <c r="BC187" s="41" t="str">
        <f t="shared" si="194"/>
        <v>-0.549464172526376+1.59864942972943i</v>
      </c>
      <c r="BD187">
        <f t="shared" si="195"/>
        <v>4.5600005056188122</v>
      </c>
      <c r="BE187" s="43">
        <f t="shared" si="196"/>
        <v>108.96811380303254</v>
      </c>
      <c r="BF187" s="41" t="str">
        <f t="shared" si="197"/>
        <v>8.08509253365663+25.341224738415i</v>
      </c>
      <c r="BG187" s="20">
        <f t="shared" si="198"/>
        <v>28.497549210234226</v>
      </c>
      <c r="BH187" s="43">
        <f t="shared" si="199"/>
        <v>72.304768725416864</v>
      </c>
      <c r="BI187" s="41" t="str">
        <f t="shared" si="203"/>
        <v>21.2393747952697+102.274589059081i</v>
      </c>
      <c r="BJ187" s="20">
        <f t="shared" si="200"/>
        <v>40.378726202147881</v>
      </c>
      <c r="BK187" s="43">
        <f t="shared" si="204"/>
        <v>78.268135285709604</v>
      </c>
      <c r="BL187">
        <f t="shared" si="201"/>
        <v>28.497549210234226</v>
      </c>
      <c r="BM187" s="43">
        <f t="shared" si="202"/>
        <v>72.304768725416864</v>
      </c>
    </row>
    <row r="188" spans="14:65" x14ac:dyDescent="0.25">
      <c r="N188" s="9">
        <v>70</v>
      </c>
      <c r="O188" s="34">
        <f t="shared" si="205"/>
        <v>501.18723362727269</v>
      </c>
      <c r="P188" s="33" t="str">
        <f t="shared" si="155"/>
        <v>19.6196196196196</v>
      </c>
      <c r="Q188" s="4" t="str">
        <f t="shared" si="156"/>
        <v>1+0.762250323173048i</v>
      </c>
      <c r="R188" s="4">
        <f t="shared" si="168"/>
        <v>1.2573883867673568</v>
      </c>
      <c r="S188" s="4">
        <f t="shared" si="169"/>
        <v>0.65129532565547088</v>
      </c>
      <c r="T188" s="4" t="str">
        <f t="shared" si="157"/>
        <v>1+0.0118404365068979i</v>
      </c>
      <c r="U188" s="4">
        <f t="shared" si="170"/>
        <v>1.0000700955116466</v>
      </c>
      <c r="V188" s="4">
        <f t="shared" si="171"/>
        <v>1.1839883226408856E-2</v>
      </c>
      <c r="W188" t="str">
        <f t="shared" si="158"/>
        <v>1-0.00688855182415938i</v>
      </c>
      <c r="X188" s="4">
        <f t="shared" si="172"/>
        <v>1.0000237257916604</v>
      </c>
      <c r="Y188" s="4">
        <f t="shared" si="173"/>
        <v>-6.8884428684053067E-3</v>
      </c>
      <c r="Z188" t="str">
        <f t="shared" si="159"/>
        <v>0.999999748811357+0.00461111224147811i</v>
      </c>
      <c r="AA188" s="4">
        <f t="shared" si="174"/>
        <v>1.0000103799355688</v>
      </c>
      <c r="AB188" s="4">
        <f t="shared" si="175"/>
        <v>4.6110807190928825E-3</v>
      </c>
      <c r="AC188" s="47" t="str">
        <f t="shared" si="176"/>
        <v>12.4136805039603-9.45565369218638i</v>
      </c>
      <c r="AD188" s="20">
        <f t="shared" si="177"/>
        <v>23.865147503984957</v>
      </c>
      <c r="AE188" s="43">
        <f t="shared" si="178"/>
        <v>-37.296972205830834</v>
      </c>
      <c r="AF188" t="str">
        <f t="shared" si="160"/>
        <v>72.2956529813786</v>
      </c>
      <c r="AG188" t="str">
        <f t="shared" si="161"/>
        <v>1+0.621622916612142i</v>
      </c>
      <c r="AH188">
        <f t="shared" si="179"/>
        <v>1.1774612734427345</v>
      </c>
      <c r="AI188">
        <f t="shared" si="180"/>
        <v>0.55616716417787815</v>
      </c>
      <c r="AJ188" t="str">
        <f t="shared" si="162"/>
        <v>1+0.0118404365068979i</v>
      </c>
      <c r="AK188">
        <f t="shared" si="181"/>
        <v>1.0000700955116466</v>
      </c>
      <c r="AL188">
        <f t="shared" si="182"/>
        <v>1.1839883226408856E-2</v>
      </c>
      <c r="AM188" t="str">
        <f t="shared" si="163"/>
        <v>1-0.00152452837111177i</v>
      </c>
      <c r="AN188">
        <f t="shared" si="183"/>
        <v>1.0000011620927021</v>
      </c>
      <c r="AO188">
        <f t="shared" si="184"/>
        <v>-1.5245271900172015E-3</v>
      </c>
      <c r="AP188" s="41" t="str">
        <f t="shared" si="185"/>
        <v>52.4810816435198-31.8776477234321i</v>
      </c>
      <c r="AQ188">
        <f t="shared" si="186"/>
        <v>35.763929964818942</v>
      </c>
      <c r="AR188" s="43">
        <f t="shared" si="187"/>
        <v>-31.275004846091885</v>
      </c>
      <c r="AS188" t="str">
        <f t="shared" si="164"/>
        <v>-0.0000166666666666667</v>
      </c>
      <c r="AT188" t="str">
        <f t="shared" si="165"/>
        <v>0.0000107067776924077i</v>
      </c>
      <c r="AU188">
        <f t="shared" si="188"/>
        <v>1.07067776924077E-5</v>
      </c>
      <c r="AV188">
        <f t="shared" si="189"/>
        <v>1.5707963267948966</v>
      </c>
      <c r="AW188" t="str">
        <f t="shared" si="166"/>
        <v>1+0.0106975157739887i</v>
      </c>
      <c r="AX188">
        <f t="shared" si="190"/>
        <v>1.000057216784987</v>
      </c>
      <c r="AY188">
        <f t="shared" si="191"/>
        <v>1.0697107738691237E-2</v>
      </c>
      <c r="AZ188" t="str">
        <f t="shared" si="167"/>
        <v>1+0.363715536315615i</v>
      </c>
      <c r="BA188">
        <f t="shared" si="192"/>
        <v>1.0640906875625571</v>
      </c>
      <c r="BB188">
        <f t="shared" si="193"/>
        <v>0.34884092804073258</v>
      </c>
      <c r="BC188" s="41" t="str">
        <f t="shared" si="194"/>
        <v>-0.549461342831461+1.56252424487369i</v>
      </c>
      <c r="BD188">
        <f t="shared" si="195"/>
        <v>4.382875169068595</v>
      </c>
      <c r="BE188" s="43">
        <f t="shared" si="196"/>
        <v>109.37421377173708</v>
      </c>
      <c r="BF188" s="41" t="str">
        <f t="shared" si="197"/>
        <v>7.95385058598389+24.5921929306118i</v>
      </c>
      <c r="BG188" s="20">
        <f t="shared" si="198"/>
        <v>28.248022673053551</v>
      </c>
      <c r="BH188" s="43">
        <f t="shared" si="199"/>
        <v>72.077241565906235</v>
      </c>
      <c r="BI188" s="41" t="str">
        <f t="shared" si="203"/>
        <v>20.9732718443093+99.5184975896205i</v>
      </c>
      <c r="BJ188" s="20">
        <f t="shared" si="200"/>
        <v>40.14680513388754</v>
      </c>
      <c r="BK188" s="43">
        <f t="shared" si="204"/>
        <v>78.0992089256452</v>
      </c>
      <c r="BL188">
        <f t="shared" si="201"/>
        <v>28.248022673053551</v>
      </c>
      <c r="BM188" s="43">
        <f t="shared" si="202"/>
        <v>72.077241565906235</v>
      </c>
    </row>
    <row r="189" spans="14:65" x14ac:dyDescent="0.25">
      <c r="N189" s="9">
        <v>71</v>
      </c>
      <c r="O189" s="34">
        <f t="shared" si="205"/>
        <v>512.86138399136519</v>
      </c>
      <c r="P189" s="33" t="str">
        <f t="shared" si="155"/>
        <v>19.6196196196196</v>
      </c>
      <c r="Q189" s="4" t="str">
        <f t="shared" si="156"/>
        <v>1+0.78000541406672i</v>
      </c>
      <c r="R189" s="4">
        <f t="shared" si="168"/>
        <v>1.2682304388293932</v>
      </c>
      <c r="S189" s="4">
        <f t="shared" si="169"/>
        <v>0.66242965994388536</v>
      </c>
      <c r="T189" s="4" t="str">
        <f t="shared" si="157"/>
        <v>1+0.0121162357030539i</v>
      </c>
      <c r="U189" s="4">
        <f t="shared" si="170"/>
        <v>1.0000733988901074</v>
      </c>
      <c r="V189" s="4">
        <f t="shared" si="171"/>
        <v>1.2115642854678654E-2</v>
      </c>
      <c r="W189" t="str">
        <f t="shared" si="158"/>
        <v>1-0.0070490068086251i</v>
      </c>
      <c r="X189" s="4">
        <f t="shared" si="172"/>
        <v>1.0000248439398833</v>
      </c>
      <c r="Y189" s="4">
        <f t="shared" si="173"/>
        <v>-7.0488900605878415E-3</v>
      </c>
      <c r="Z189" t="str">
        <f t="shared" si="159"/>
        <v>0.999999736973201+0.00471851884332455i</v>
      </c>
      <c r="AA189" s="4">
        <f t="shared" si="174"/>
        <v>1.000010869124204</v>
      </c>
      <c r="AB189" s="4">
        <f t="shared" si="175"/>
        <v>4.718485066500056E-3</v>
      </c>
      <c r="AC189" s="47" t="str">
        <f t="shared" si="176"/>
        <v>12.2025365410521-9.51121109014462i</v>
      </c>
      <c r="AD189" s="20">
        <f t="shared" si="177"/>
        <v>23.790607105644483</v>
      </c>
      <c r="AE189" s="43">
        <f t="shared" si="178"/>
        <v>-37.934469468139469</v>
      </c>
      <c r="AF189" t="str">
        <f t="shared" si="160"/>
        <v>72.2956529813786</v>
      </c>
      <c r="AG189" t="str">
        <f t="shared" si="161"/>
        <v>1+0.636102374410328i</v>
      </c>
      <c r="AH189">
        <f t="shared" si="179"/>
        <v>1.1851692835753285</v>
      </c>
      <c r="AI189">
        <f t="shared" si="180"/>
        <v>0.56654323848022436</v>
      </c>
      <c r="AJ189" t="str">
        <f t="shared" si="162"/>
        <v>1+0.0121162357030539i</v>
      </c>
      <c r="AK189">
        <f t="shared" si="181"/>
        <v>1.0000733988901074</v>
      </c>
      <c r="AL189">
        <f t="shared" si="182"/>
        <v>1.2115642854678654E-2</v>
      </c>
      <c r="AM189" t="str">
        <f t="shared" si="163"/>
        <v>1-0.00156003919869187i</v>
      </c>
      <c r="AN189">
        <f t="shared" si="183"/>
        <v>1.0000012168604104</v>
      </c>
      <c r="AO189">
        <f t="shared" si="184"/>
        <v>-1.5600379331263217E-3</v>
      </c>
      <c r="AP189" s="41" t="str">
        <f t="shared" si="185"/>
        <v>51.8162556869957-32.197276156268i</v>
      </c>
      <c r="AQ189">
        <f t="shared" si="186"/>
        <v>35.707284030115439</v>
      </c>
      <c r="AR189" s="43">
        <f t="shared" si="187"/>
        <v>-31.85574486437806</v>
      </c>
      <c r="AS189" t="str">
        <f t="shared" si="164"/>
        <v>-0.0000166666666666667</v>
      </c>
      <c r="AT189" t="str">
        <f t="shared" si="165"/>
        <v>0.0000109561705825487i</v>
      </c>
      <c r="AU189">
        <f t="shared" si="188"/>
        <v>1.09561705825487E-5</v>
      </c>
      <c r="AV189">
        <f t="shared" si="189"/>
        <v>1.5707963267948966</v>
      </c>
      <c r="AW189" t="str">
        <f t="shared" si="166"/>
        <v>1+0.0109466929263355i</v>
      </c>
      <c r="AX189">
        <f t="shared" si="190"/>
        <v>1.0000599132482131</v>
      </c>
      <c r="AY189">
        <f t="shared" si="191"/>
        <v>1.0946255710051724E-2</v>
      </c>
      <c r="AZ189" t="str">
        <f t="shared" si="167"/>
        <v>1+0.372187559495405i</v>
      </c>
      <c r="BA189">
        <f t="shared" si="192"/>
        <v>1.0670162039271689</v>
      </c>
      <c r="BB189">
        <f t="shared" si="193"/>
        <v>0.35630269202599452</v>
      </c>
      <c r="BC189" s="41" t="str">
        <f t="shared" si="194"/>
        <v>-0.549458379808371+1.52722752820139i</v>
      </c>
      <c r="BD189">
        <f t="shared" si="195"/>
        <v>4.2066991952412707</v>
      </c>
      <c r="BE189" s="43">
        <f t="shared" si="196"/>
        <v>109.78746622858213</v>
      </c>
      <c r="BF189" s="41" t="str">
        <f t="shared" si="197"/>
        <v>7.82099744600429+23.8620643549844i</v>
      </c>
      <c r="BG189" s="20">
        <f t="shared" si="198"/>
        <v>27.997306300885754</v>
      </c>
      <c r="BH189" s="43">
        <f t="shared" si="199"/>
        <v>71.852996760442664</v>
      </c>
      <c r="BI189" s="41" t="str">
        <f t="shared" si="203"/>
        <v>20.7016905814418+96.8262752845674i</v>
      </c>
      <c r="BJ189" s="20">
        <f t="shared" si="200"/>
        <v>39.913983225356716</v>
      </c>
      <c r="BK189" s="43">
        <f t="shared" si="204"/>
        <v>77.93172136420408</v>
      </c>
      <c r="BL189">
        <f t="shared" si="201"/>
        <v>27.997306300885754</v>
      </c>
      <c r="BM189" s="43">
        <f t="shared" si="202"/>
        <v>71.852996760442664</v>
      </c>
    </row>
    <row r="190" spans="14:65" x14ac:dyDescent="0.25">
      <c r="N190" s="9">
        <v>72</v>
      </c>
      <c r="O190" s="34">
        <f t="shared" si="205"/>
        <v>524.80746024977248</v>
      </c>
      <c r="P190" s="33" t="str">
        <f t="shared" si="155"/>
        <v>19.6196196196196</v>
      </c>
      <c r="Q190" s="4" t="str">
        <f t="shared" si="156"/>
        <v>1+0.798174074155524i</v>
      </c>
      <c r="R190" s="4">
        <f t="shared" si="168"/>
        <v>1.2794849950874876</v>
      </c>
      <c r="S190" s="4">
        <f t="shared" si="169"/>
        <v>0.67362658071022752</v>
      </c>
      <c r="T190" s="4" t="str">
        <f t="shared" si="157"/>
        <v>1+0.0123984590877569i</v>
      </c>
      <c r="U190" s="4">
        <f t="shared" si="170"/>
        <v>1.0000768579403039</v>
      </c>
      <c r="V190" s="4">
        <f t="shared" si="171"/>
        <v>1.2397823841914438E-2</v>
      </c>
      <c r="W190" t="str">
        <f t="shared" si="158"/>
        <v>1-0.0072131992698054i</v>
      </c>
      <c r="X190" s="4">
        <f t="shared" si="172"/>
        <v>1.0000260147834685</v>
      </c>
      <c r="Y190" s="4">
        <f t="shared" si="173"/>
        <v>-7.2130741722053896E-3</v>
      </c>
      <c r="Z190" t="str">
        <f t="shared" si="159"/>
        <v>0.99999972457713+0.00482842726631871i</v>
      </c>
      <c r="AA190" s="4">
        <f t="shared" si="174"/>
        <v>1.0000113813673333</v>
      </c>
      <c r="AB190" s="4">
        <f t="shared" si="175"/>
        <v>4.828391073821439E-3</v>
      </c>
      <c r="AC190" s="47" t="str">
        <f t="shared" si="176"/>
        <v>11.9890122944627-9.56232652854098i</v>
      </c>
      <c r="AD190" s="20">
        <f t="shared" si="177"/>
        <v>23.713902375432454</v>
      </c>
      <c r="AE190" s="43">
        <f t="shared" si="178"/>
        <v>-38.575542198987264</v>
      </c>
      <c r="AF190" t="str">
        <f t="shared" si="160"/>
        <v>72.2956529813786</v>
      </c>
      <c r="AG190" t="str">
        <f t="shared" si="161"/>
        <v>1+0.650919102107239i</v>
      </c>
      <c r="AH190">
        <f t="shared" si="179"/>
        <v>1.1931871929785762</v>
      </c>
      <c r="AI190">
        <f t="shared" si="180"/>
        <v>0.57702106673556963</v>
      </c>
      <c r="AJ190" t="str">
        <f t="shared" si="162"/>
        <v>1+0.0123984590877569i</v>
      </c>
      <c r="AK190">
        <f t="shared" si="181"/>
        <v>1.0000768579403039</v>
      </c>
      <c r="AL190">
        <f t="shared" si="182"/>
        <v>1.2397823841914438E-2</v>
      </c>
      <c r="AM190" t="str">
        <f t="shared" si="163"/>
        <v>1-0.00159637717970467i</v>
      </c>
      <c r="AN190">
        <f t="shared" si="183"/>
        <v>1.0000012742092381</v>
      </c>
      <c r="AO190">
        <f t="shared" si="184"/>
        <v>-1.5963758236268461E-3</v>
      </c>
      <c r="AP190" s="41" t="str">
        <f t="shared" si="185"/>
        <v>51.1383269170321-32.505970275i</v>
      </c>
      <c r="AQ190">
        <f t="shared" si="186"/>
        <v>35.648750650219306</v>
      </c>
      <c r="AR190" s="43">
        <f t="shared" si="187"/>
        <v>-32.441994430006915</v>
      </c>
      <c r="AS190" t="str">
        <f t="shared" si="164"/>
        <v>-0.0000166666666666667</v>
      </c>
      <c r="AT190" t="str">
        <f t="shared" si="165"/>
        <v>0.0000112113725793547i</v>
      </c>
      <c r="AU190">
        <f t="shared" si="188"/>
        <v>1.1211372579354701E-5</v>
      </c>
      <c r="AV190">
        <f t="shared" si="189"/>
        <v>1.5707963267948966</v>
      </c>
      <c r="AW190" t="str">
        <f t="shared" si="166"/>
        <v>1+0.0112016741601684i</v>
      </c>
      <c r="AX190">
        <f t="shared" si="190"/>
        <v>1.0000627367840431</v>
      </c>
      <c r="AY190">
        <f t="shared" si="191"/>
        <v>1.1201205676067045E-2</v>
      </c>
      <c r="AZ190" t="str">
        <f t="shared" si="167"/>
        <v>1+0.380856921445725i</v>
      </c>
      <c r="BA190">
        <f t="shared" si="192"/>
        <v>1.0700710231630026</v>
      </c>
      <c r="BB190">
        <f t="shared" si="193"/>
        <v>0.36389559219426248</v>
      </c>
      <c r="BC190" s="41" t="str">
        <f t="shared" si="194"/>
        <v>-0.549455277176553+1.4927405647221i</v>
      </c>
      <c r="BD190">
        <f t="shared" si="195"/>
        <v>4.0315064526543578</v>
      </c>
      <c r="BE190" s="43">
        <f t="shared" si="196"/>
        <v>110.20789980544832</v>
      </c>
      <c r="BF190" s="41" t="str">
        <f t="shared" si="197"/>
        <v>7.68664662894428+23.1505557560886i</v>
      </c>
      <c r="BG190" s="20">
        <f t="shared" si="198"/>
        <v>27.745408828086799</v>
      </c>
      <c r="BH190" s="43">
        <f t="shared" si="199"/>
        <v>71.632357606461028</v>
      </c>
      <c r="BI190" s="41" t="str">
        <f t="shared" si="203"/>
        <v>20.4247568346002+94.1968319084168i</v>
      </c>
      <c r="BJ190" s="20">
        <f t="shared" si="200"/>
        <v>39.680257102873668</v>
      </c>
      <c r="BK190" s="43">
        <f t="shared" si="204"/>
        <v>77.765905375441434</v>
      </c>
      <c r="BL190">
        <f t="shared" si="201"/>
        <v>27.745408828086799</v>
      </c>
      <c r="BM190" s="43">
        <f t="shared" si="202"/>
        <v>71.632357606461028</v>
      </c>
    </row>
    <row r="191" spans="14:65" x14ac:dyDescent="0.25">
      <c r="N191" s="9">
        <v>73</v>
      </c>
      <c r="O191" s="34">
        <f t="shared" si="205"/>
        <v>537.03179637025301</v>
      </c>
      <c r="P191" s="33" t="str">
        <f t="shared" si="155"/>
        <v>19.6196196196196</v>
      </c>
      <c r="Q191" s="4" t="str">
        <f t="shared" si="156"/>
        <v>1+0.816765936703525i</v>
      </c>
      <c r="R191" s="4">
        <f t="shared" si="168"/>
        <v>1.2911648211437559</v>
      </c>
      <c r="S191" s="4">
        <f t="shared" si="169"/>
        <v>0.68488079514316702</v>
      </c>
      <c r="T191" s="4" t="str">
        <f t="shared" si="157"/>
        <v>1+0.0126872562995813i</v>
      </c>
      <c r="U191" s="4">
        <f t="shared" si="170"/>
        <v>1.0000804799976906</v>
      </c>
      <c r="V191" s="4">
        <f t="shared" si="171"/>
        <v>1.2686575624355918E-2</v>
      </c>
      <c r="W191" t="str">
        <f t="shared" si="158"/>
        <v>1-0.00738121626471651i</v>
      </c>
      <c r="X191" s="4">
        <f t="shared" si="172"/>
        <v>1.0000272408057425</v>
      </c>
      <c r="Y191" s="4">
        <f t="shared" si="173"/>
        <v>-7.3810822204202669E-3</v>
      </c>
      <c r="Z191" t="str">
        <f t="shared" si="159"/>
        <v>0.99999971159685+0.00494089578536125i</v>
      </c>
      <c r="AA191" s="4">
        <f t="shared" si="174"/>
        <v>1.0000119177514561</v>
      </c>
      <c r="AB191" s="4">
        <f t="shared" si="175"/>
        <v>4.9408570044266777E-3</v>
      </c>
      <c r="AC191" s="47" t="str">
        <f t="shared" si="176"/>
        <v>11.7732973617167-9.60887353504722i</v>
      </c>
      <c r="AD191" s="20">
        <f t="shared" si="177"/>
        <v>23.635010070094783</v>
      </c>
      <c r="AE191" s="43">
        <f t="shared" si="178"/>
        <v>-39.21988690451871</v>
      </c>
      <c r="AF191" t="str">
        <f t="shared" si="160"/>
        <v>72.2956529813786</v>
      </c>
      <c r="AG191" t="str">
        <f t="shared" si="161"/>
        <v>1+0.666080955728017i</v>
      </c>
      <c r="AH191">
        <f t="shared" si="179"/>
        <v>1.2015256300152521</v>
      </c>
      <c r="AI191">
        <f t="shared" si="180"/>
        <v>0.58759700173593032</v>
      </c>
      <c r="AJ191" t="str">
        <f t="shared" si="162"/>
        <v>1+0.0126872562995813i</v>
      </c>
      <c r="AK191">
        <f t="shared" si="181"/>
        <v>1.0000804799976906</v>
      </c>
      <c r="AL191">
        <f t="shared" si="182"/>
        <v>1.2686575624355918E-2</v>
      </c>
      <c r="AM191" t="str">
        <f t="shared" si="163"/>
        <v>1-0.0016335615810287i</v>
      </c>
      <c r="AN191">
        <f t="shared" si="183"/>
        <v>1.0000013342608294</v>
      </c>
      <c r="AO191">
        <f t="shared" si="184"/>
        <v>-1.6335601279652372E-3</v>
      </c>
      <c r="AP191" s="41" t="str">
        <f t="shared" si="185"/>
        <v>50.4476439264963-32.8030808032528i</v>
      </c>
      <c r="AQ191">
        <f t="shared" si="186"/>
        <v>35.588293509375568</v>
      </c>
      <c r="AR191" s="43">
        <f t="shared" si="187"/>
        <v>-33.033537115174255</v>
      </c>
      <c r="AS191" t="str">
        <f t="shared" si="164"/>
        <v>-0.0000166666666666667</v>
      </c>
      <c r="AT191" t="str">
        <f t="shared" si="165"/>
        <v>0.0000114725189943022i</v>
      </c>
      <c r="AU191">
        <f t="shared" si="188"/>
        <v>1.14725189943022E-5</v>
      </c>
      <c r="AV191">
        <f t="shared" si="189"/>
        <v>1.5707963267948966</v>
      </c>
      <c r="AW191" t="str">
        <f t="shared" si="166"/>
        <v>1+0.0114625946699127i</v>
      </c>
      <c r="AX191">
        <f t="shared" si="190"/>
        <v>1.0000656933804732</v>
      </c>
      <c r="AY191">
        <f t="shared" si="191"/>
        <v>1.146209268193484E-2</v>
      </c>
      <c r="AZ191" t="str">
        <f t="shared" si="167"/>
        <v>1+0.389728218777031i</v>
      </c>
      <c r="BA191">
        <f t="shared" si="192"/>
        <v>1.0732604923834275</v>
      </c>
      <c r="BB191">
        <f t="shared" si="193"/>
        <v>0.37162015142479193</v>
      </c>
      <c r="BC191" s="41" t="str">
        <f t="shared" si="194"/>
        <v>-0.549452028359761+1.45904506877268i</v>
      </c>
      <c r="BD191">
        <f t="shared" si="195"/>
        <v>3.8573315558387962</v>
      </c>
      <c r="BE191" s="43">
        <f t="shared" si="196"/>
        <v>110.6355367235905</v>
      </c>
      <c r="BF191" s="41" t="str">
        <f t="shared" si="197"/>
        <v>7.55091743189309+22.4573865128913i</v>
      </c>
      <c r="BG191" s="20">
        <f t="shared" si="198"/>
        <v>27.492341625933587</v>
      </c>
      <c r="BH191" s="43">
        <f t="shared" si="199"/>
        <v>71.415649819071817</v>
      </c>
      <c r="BI191" s="41" t="str">
        <f t="shared" si="203"/>
        <v>20.1426130051534+91.6291053859509i</v>
      </c>
      <c r="BJ191" s="20">
        <f t="shared" si="200"/>
        <v>39.445625065214372</v>
      </c>
      <c r="BK191" s="43">
        <f t="shared" si="204"/>
        <v>77.601999608416236</v>
      </c>
      <c r="BL191">
        <f t="shared" si="201"/>
        <v>27.492341625933587</v>
      </c>
      <c r="BM191" s="43">
        <f t="shared" si="202"/>
        <v>71.415649819071817</v>
      </c>
    </row>
    <row r="192" spans="14:65" x14ac:dyDescent="0.25">
      <c r="N192" s="9">
        <v>74</v>
      </c>
      <c r="O192" s="34">
        <f t="shared" si="205"/>
        <v>549.54087385762534</v>
      </c>
      <c r="P192" s="33" t="str">
        <f t="shared" si="155"/>
        <v>19.6196196196196</v>
      </c>
      <c r="Q192" s="4" t="str">
        <f t="shared" si="156"/>
        <v>1+0.835790859362344i</v>
      </c>
      <c r="R192" s="4">
        <f t="shared" si="168"/>
        <v>1.3032829165586595</v>
      </c>
      <c r="S192" s="4">
        <f t="shared" si="169"/>
        <v>0.69618686761683091</v>
      </c>
      <c r="T192" s="4" t="str">
        <f t="shared" si="157"/>
        <v>1+0.0129827804626314i</v>
      </c>
      <c r="U192" s="4">
        <f t="shared" si="170"/>
        <v>1.0000842727433228</v>
      </c>
      <c r="V192" s="4">
        <f t="shared" si="171"/>
        <v>1.2982051109306135E-2</v>
      </c>
      <c r="W192" t="str">
        <f t="shared" si="158"/>
        <v>1-0.00755314687819313i</v>
      </c>
      <c r="X192" s="4">
        <f t="shared" si="172"/>
        <v>1.000028524607055</v>
      </c>
      <c r="Y192" s="4">
        <f t="shared" si="173"/>
        <v>-7.5530032473632167E-3</v>
      </c>
      <c r="Z192" t="str">
        <f t="shared" si="159"/>
        <v>0.999999698004828+0.00505598403274969i</v>
      </c>
      <c r="AA192" s="4">
        <f t="shared" si="174"/>
        <v>1.0000124794142753</v>
      </c>
      <c r="AB192" s="4">
        <f t="shared" si="175"/>
        <v>5.0559424782576244E-3</v>
      </c>
      <c r="AC192" s="47" t="str">
        <f t="shared" si="176"/>
        <v>11.5555899382673-9.65073552505286i</v>
      </c>
      <c r="AD192" s="20">
        <f t="shared" si="177"/>
        <v>23.553908928218963</v>
      </c>
      <c r="AE192" s="43">
        <f t="shared" si="178"/>
        <v>-39.867191903078641</v>
      </c>
      <c r="AF192" t="str">
        <f t="shared" si="160"/>
        <v>72.2956529813786</v>
      </c>
      <c r="AG192" t="str">
        <f t="shared" si="161"/>
        <v>1+0.681595974288148i</v>
      </c>
      <c r="AH192">
        <f t="shared" si="179"/>
        <v>1.2101954685776217</v>
      </c>
      <c r="AI192">
        <f t="shared" si="180"/>
        <v>0.5982671874586728</v>
      </c>
      <c r="AJ192" t="str">
        <f t="shared" si="162"/>
        <v>1+0.0129827804626314i</v>
      </c>
      <c r="AK192">
        <f t="shared" si="181"/>
        <v>1.0000842727433228</v>
      </c>
      <c r="AL192">
        <f t="shared" si="182"/>
        <v>1.2982051109306135E-2</v>
      </c>
      <c r="AM192" t="str">
        <f t="shared" si="163"/>
        <v>1-0.00167161211832574i</v>
      </c>
      <c r="AN192">
        <f t="shared" si="183"/>
        <v>1.000001397142561</v>
      </c>
      <c r="AO192">
        <f t="shared" si="184"/>
        <v>-1.6716105613403054E-3</v>
      </c>
      <c r="AP192" s="41" t="str">
        <f t="shared" si="185"/>
        <v>49.7445960799065-33.0879681292204i</v>
      </c>
      <c r="AQ192">
        <f t="shared" si="186"/>
        <v>35.525877332883454</v>
      </c>
      <c r="AR192" s="43">
        <f t="shared" si="187"/>
        <v>-33.630144354711945</v>
      </c>
      <c r="AS192" t="str">
        <f t="shared" si="164"/>
        <v>-0.0000166666666666667</v>
      </c>
      <c r="AT192" t="str">
        <f t="shared" si="165"/>
        <v>0.0000117397482906773i</v>
      </c>
      <c r="AU192">
        <f t="shared" si="188"/>
        <v>1.1739748290677299E-5</v>
      </c>
      <c r="AV192">
        <f t="shared" si="189"/>
        <v>1.5707963267948966</v>
      </c>
      <c r="AW192" t="str">
        <f t="shared" si="166"/>
        <v>1+0.0117295927990764i</v>
      </c>
      <c r="AX192">
        <f t="shared" si="190"/>
        <v>1.0000687893076317</v>
      </c>
      <c r="AY192">
        <f t="shared" si="191"/>
        <v>1.1729054911265356E-2</v>
      </c>
      <c r="AZ192" t="str">
        <f t="shared" si="167"/>
        <v>1+0.398806155168597i</v>
      </c>
      <c r="BA192">
        <f t="shared" si="192"/>
        <v>1.0765901492213084</v>
      </c>
      <c r="BB192">
        <f t="shared" si="193"/>
        <v>0.37947677704112626</v>
      </c>
      <c r="BC192" s="41" t="str">
        <f t="shared" si="194"/>
        <v>-0.549448626472126+1.42612317432089i</v>
      </c>
      <c r="BD192">
        <f t="shared" si="195"/>
        <v>3.6842098427727281</v>
      </c>
      <c r="BE192" s="43">
        <f t="shared" si="196"/>
        <v>111.07039240359077</v>
      </c>
      <c r="BF192" s="41" t="str">
        <f t="shared" si="197"/>
        <v>7.41393456186368+21.7822779825983i</v>
      </c>
      <c r="BG192" s="20">
        <f t="shared" si="198"/>
        <v>27.238118770991676</v>
      </c>
      <c r="BH192" s="43">
        <f t="shared" si="199"/>
        <v>71.203200500512096</v>
      </c>
      <c r="BI192" s="41" t="str">
        <f t="shared" si="203"/>
        <v>19.8554181497569+89.1220599081404i</v>
      </c>
      <c r="BJ192" s="20">
        <f t="shared" si="200"/>
        <v>39.210087175656184</v>
      </c>
      <c r="BK192" s="43">
        <f t="shared" si="204"/>
        <v>77.440248048878843</v>
      </c>
      <c r="BL192">
        <f t="shared" si="201"/>
        <v>27.238118770991676</v>
      </c>
      <c r="BM192" s="43">
        <f t="shared" si="202"/>
        <v>71.203200500512096</v>
      </c>
    </row>
    <row r="193" spans="14:65" x14ac:dyDescent="0.25">
      <c r="N193" s="9">
        <v>75</v>
      </c>
      <c r="O193" s="34">
        <f t="shared" si="205"/>
        <v>562.34132519034927</v>
      </c>
      <c r="P193" s="33" t="str">
        <f t="shared" si="155"/>
        <v>19.6196196196196</v>
      </c>
      <c r="Q193" s="4" t="str">
        <f t="shared" si="156"/>
        <v>1+0.855258929397796i</v>
      </c>
      <c r="R193" s="4">
        <f t="shared" si="168"/>
        <v>1.3158525131315684</v>
      </c>
      <c r="S193" s="4">
        <f t="shared" si="169"/>
        <v>0.70753923171375888</v>
      </c>
      <c r="T193" s="4" t="str">
        <f t="shared" si="157"/>
        <v>1+0.0132851882677302i</v>
      </c>
      <c r="U193" s="4">
        <f t="shared" si="170"/>
        <v>1.0000882442201333</v>
      </c>
      <c r="V193" s="4">
        <f t="shared" si="171"/>
        <v>1.3284406755286148E-2</v>
      </c>
      <c r="W193" t="str">
        <f t="shared" si="158"/>
        <v>1-0.00772908227012228i</v>
      </c>
      <c r="X193" s="4">
        <f t="shared" si="172"/>
        <v>1.0000298689102933</v>
      </c>
      <c r="Y193" s="4">
        <f t="shared" si="173"/>
        <v>-7.7289283671634667E-3</v>
      </c>
      <c r="Z193" t="str">
        <f t="shared" si="159"/>
        <v>0.999999683772234+0.00517375302979614i</v>
      </c>
      <c r="AA193" s="4">
        <f t="shared" si="174"/>
        <v>1.0000130675471102</v>
      </c>
      <c r="AB193" s="4">
        <f t="shared" si="175"/>
        <v>5.1737085033870924E-3</v>
      </c>
      <c r="AC193" s="47" t="str">
        <f t="shared" si="176"/>
        <v>11.3360961568257-9.68780649607864i</v>
      </c>
      <c r="AD193" s="20">
        <f t="shared" si="177"/>
        <v>23.470579754789327</v>
      </c>
      <c r="AE193" s="43">
        <f t="shared" si="178"/>
        <v>-40.517138013986568</v>
      </c>
      <c r="AF193" t="str">
        <f t="shared" si="160"/>
        <v>72.2956529813786</v>
      </c>
      <c r="AG193" t="str">
        <f t="shared" si="161"/>
        <v>1+0.697472384055834i</v>
      </c>
      <c r="AH193">
        <f t="shared" si="179"/>
        <v>1.2192078274521243</v>
      </c>
      <c r="AI193">
        <f t="shared" si="180"/>
        <v>0.60902756267855385</v>
      </c>
      <c r="AJ193" t="str">
        <f t="shared" si="162"/>
        <v>1+0.0132851882677302i</v>
      </c>
      <c r="AK193">
        <f t="shared" si="181"/>
        <v>1.0000882442201333</v>
      </c>
      <c r="AL193">
        <f t="shared" si="182"/>
        <v>1.3284406755286148E-2</v>
      </c>
      <c r="AM193" t="str">
        <f t="shared" si="163"/>
        <v>1-0.00171054896649432i</v>
      </c>
      <c r="AN193">
        <f t="shared" si="183"/>
        <v>1.0000014629878131</v>
      </c>
      <c r="AO193">
        <f t="shared" si="184"/>
        <v>-1.7105472981545006E-3</v>
      </c>
      <c r="AP193" s="41" t="str">
        <f t="shared" si="185"/>
        <v>49.0296134739489-33.3600052927044i</v>
      </c>
      <c r="AQ193">
        <f t="shared" si="186"/>
        <v>35.461468001942578</v>
      </c>
      <c r="AR193" s="43">
        <f t="shared" si="187"/>
        <v>-34.23157564904912</v>
      </c>
      <c r="AS193" t="str">
        <f t="shared" si="164"/>
        <v>-0.0000166666666666667</v>
      </c>
      <c r="AT193" t="str">
        <f t="shared" si="165"/>
        <v>0.0000120132021569901i</v>
      </c>
      <c r="AU193">
        <f t="shared" si="188"/>
        <v>1.20132021569901E-5</v>
      </c>
      <c r="AV193">
        <f t="shared" si="189"/>
        <v>1.5707963267948966</v>
      </c>
      <c r="AW193" t="str">
        <f t="shared" si="166"/>
        <v>1+0.0120028101136017i</v>
      </c>
      <c r="AX193">
        <f t="shared" si="190"/>
        <v>1.0000720311310698</v>
      </c>
      <c r="AY193">
        <f t="shared" si="191"/>
        <v>1.2002233758670145E-2</v>
      </c>
      <c r="AZ193" t="str">
        <f t="shared" si="167"/>
        <v>1+0.408095543862456i</v>
      </c>
      <c r="BA193">
        <f t="shared" si="192"/>
        <v>1.0800657262039166</v>
      </c>
      <c r="BB193">
        <f t="shared" si="193"/>
        <v>0.38746575399920641</v>
      </c>
      <c r="BC193" s="41" t="str">
        <f t="shared" si="194"/>
        <v>-0.549445064303615+1.39395742549152i</v>
      </c>
      <c r="BD193">
        <f t="shared" si="195"/>
        <v>3.5121773484162451</v>
      </c>
      <c r="BE193" s="43">
        <f t="shared" si="196"/>
        <v>111.51247507090756</v>
      </c>
      <c r="BF193" s="41" t="str">
        <f t="shared" si="197"/>
        <v>7.27582772009474+21.124952877092i</v>
      </c>
      <c r="BG193" s="20">
        <f t="shared" si="198"/>
        <v>26.982757103205582</v>
      </c>
      <c r="BH193" s="43">
        <f t="shared" si="199"/>
        <v>70.995337056921016</v>
      </c>
      <c r="BI193" s="41" t="str">
        <f t="shared" si="203"/>
        <v>19.5633479642265+86.6746840242091i</v>
      </c>
      <c r="BJ193" s="20">
        <f t="shared" si="200"/>
        <v>38.973645350358829</v>
      </c>
      <c r="BK193" s="43">
        <f t="shared" si="204"/>
        <v>77.280899421858422</v>
      </c>
      <c r="BL193">
        <f t="shared" si="201"/>
        <v>26.982757103205582</v>
      </c>
      <c r="BM193" s="43">
        <f t="shared" si="202"/>
        <v>70.995337056921016</v>
      </c>
    </row>
    <row r="194" spans="14:65" x14ac:dyDescent="0.25">
      <c r="N194" s="9">
        <v>76</v>
      </c>
      <c r="O194" s="34">
        <f t="shared" si="205"/>
        <v>575.43993733715706</v>
      </c>
      <c r="P194" s="33" t="str">
        <f t="shared" si="155"/>
        <v>19.6196196196196</v>
      </c>
      <c r="Q194" s="4" t="str">
        <f t="shared" si="156"/>
        <v>1+0.875180469038305i</v>
      </c>
      <c r="R194" s="4">
        <f t="shared" si="168"/>
        <v>1.3288870732256024</v>
      </c>
      <c r="S194" s="4">
        <f t="shared" si="169"/>
        <v>0.71893220303327432</v>
      </c>
      <c r="T194" s="4" t="str">
        <f t="shared" si="157"/>
        <v>1+0.0135946400554988i</v>
      </c>
      <c r="U194" s="4">
        <f t="shared" si="170"/>
        <v>1.000092402849976</v>
      </c>
      <c r="V194" s="4">
        <f t="shared" si="171"/>
        <v>1.3593802654006408E-2</v>
      </c>
      <c r="W194" t="str">
        <f t="shared" si="158"/>
        <v>1-0.00790911572377756i</v>
      </c>
      <c r="X194" s="4">
        <f t="shared" si="172"/>
        <v>1.0000312765666541</v>
      </c>
      <c r="Y194" s="4">
        <f t="shared" si="173"/>
        <v>-7.9089508140646157E-3</v>
      </c>
      <c r="Z194" t="str">
        <f t="shared" si="159"/>
        <v>0.999999668868878+0.00529426521918171i</v>
      </c>
      <c r="AA194" s="4">
        <f t="shared" si="174"/>
        <v>1.0000136833974207</v>
      </c>
      <c r="AB194" s="4">
        <f t="shared" si="175"/>
        <v>5.2942175083100802E-3</v>
      </c>
      <c r="AC194" s="47" t="str">
        <f t="shared" si="176"/>
        <v>11.1150293611219-9.71999166980835i</v>
      </c>
      <c r="AD194" s="20">
        <f t="shared" si="177"/>
        <v>23.385005498672655</v>
      </c>
      <c r="AE194" s="43">
        <f t="shared" si="178"/>
        <v>-41.169399291313511</v>
      </c>
      <c r="AF194" t="str">
        <f t="shared" si="160"/>
        <v>72.2956529813786</v>
      </c>
      <c r="AG194" t="str">
        <f t="shared" si="161"/>
        <v>1+0.713718602913686i</v>
      </c>
      <c r="AH194">
        <f t="shared" si="179"/>
        <v>1.2285740694581926</v>
      </c>
      <c r="AI194">
        <f t="shared" si="180"/>
        <v>0.61987386555614543</v>
      </c>
      <c r="AJ194" t="str">
        <f t="shared" si="162"/>
        <v>1+0.0135946400554988i</v>
      </c>
      <c r="AK194">
        <f t="shared" si="181"/>
        <v>1.000092402849976</v>
      </c>
      <c r="AL194">
        <f t="shared" si="182"/>
        <v>1.3593802654006408E-2</v>
      </c>
      <c r="AM194" t="str">
        <f t="shared" si="163"/>
        <v>1-0.00175039277036673i</v>
      </c>
      <c r="AN194">
        <f t="shared" si="183"/>
        <v>1.0000015319362519</v>
      </c>
      <c r="AO194">
        <f t="shared" si="184"/>
        <v>-1.7503909827085537E-3</v>
      </c>
      <c r="AP194" s="41" t="str">
        <f t="shared" si="185"/>
        <v>48.303166645936-33.6185810232929i</v>
      </c>
      <c r="AQ194">
        <f t="shared" si="186"/>
        <v>35.395032668042624</v>
      </c>
      <c r="AR194" s="43">
        <f t="shared" si="187"/>
        <v>-34.837578823025623</v>
      </c>
      <c r="AS194" t="str">
        <f t="shared" si="164"/>
        <v>-0.0000166666666666667</v>
      </c>
      <c r="AT194" t="str">
        <f t="shared" si="165"/>
        <v>0.0000122930255821i</v>
      </c>
      <c r="AU194">
        <f t="shared" si="188"/>
        <v>1.22930255821E-5</v>
      </c>
      <c r="AV194">
        <f t="shared" si="189"/>
        <v>1.5707963267948966</v>
      </c>
      <c r="AW194" t="str">
        <f t="shared" si="166"/>
        <v>1+0.0122823914769252i</v>
      </c>
      <c r="AX194">
        <f t="shared" si="190"/>
        <v>1.0000754257256763</v>
      </c>
      <c r="AY194">
        <f t="shared" si="191"/>
        <v>1.2281773904004945E-2</v>
      </c>
      <c r="AZ194" t="str">
        <f t="shared" si="167"/>
        <v>1+0.417601310215455i</v>
      </c>
      <c r="BA194">
        <f t="shared" si="192"/>
        <v>1.0836931550460511</v>
      </c>
      <c r="BB194">
        <f t="shared" si="193"/>
        <v>0.39558723802745194</v>
      </c>
      <c r="BC194" s="41" t="str">
        <f t="shared" si="194"/>
        <v>-0.549441334304781+1.36253076730984i</v>
      </c>
      <c r="BD194">
        <f t="shared" si="195"/>
        <v>3.3412707741567149</v>
      </c>
      <c r="BE194" s="43">
        <f t="shared" si="196"/>
        <v>111.96178535857679</v>
      </c>
      <c r="BF194" s="41" t="str">
        <f t="shared" si="197"/>
        <v>7.13673114509759+20.4851346765717i</v>
      </c>
      <c r="BG194" s="20">
        <f t="shared" si="198"/>
        <v>26.726276272829381</v>
      </c>
      <c r="BH194" s="43">
        <f t="shared" si="199"/>
        <v>70.792386067263308</v>
      </c>
      <c r="BI194" s="41" t="str">
        <f t="shared" si="203"/>
        <v>19.266594664446+84.2859887284537i</v>
      </c>
      <c r="BJ194" s="20">
        <f t="shared" si="200"/>
        <v>38.736303442199343</v>
      </c>
      <c r="BK194" s="43">
        <f t="shared" si="204"/>
        <v>77.124206535551195</v>
      </c>
      <c r="BL194">
        <f t="shared" si="201"/>
        <v>26.726276272829381</v>
      </c>
      <c r="BM194" s="43">
        <f t="shared" si="202"/>
        <v>70.792386067263308</v>
      </c>
    </row>
    <row r="195" spans="14:65" x14ac:dyDescent="0.25">
      <c r="N195" s="9">
        <v>77</v>
      </c>
      <c r="O195" s="34">
        <f t="shared" si="205"/>
        <v>588.84365535558959</v>
      </c>
      <c r="P195" s="33" t="str">
        <f t="shared" si="155"/>
        <v>19.6196196196196</v>
      </c>
      <c r="Q195" s="4" t="str">
        <f t="shared" si="156"/>
        <v>1+0.895566040947881i</v>
      </c>
      <c r="R195" s="4">
        <f t="shared" si="168"/>
        <v>1.3424002881775099</v>
      </c>
      <c r="S195" s="4">
        <f t="shared" si="169"/>
        <v>0.73035999271953</v>
      </c>
      <c r="T195" s="4" t="str">
        <f t="shared" si="157"/>
        <v>1+0.0139112999013711i</v>
      </c>
      <c r="U195" s="4">
        <f t="shared" si="170"/>
        <v>1.0000967574514708</v>
      </c>
      <c r="V195" s="4">
        <f t="shared" si="171"/>
        <v>1.3910402614194283E-2</v>
      </c>
      <c r="W195" t="str">
        <f t="shared" si="158"/>
        <v>1-0.0080933426952791i</v>
      </c>
      <c r="X195" s="4">
        <f t="shared" si="172"/>
        <v>1.0000327505616919</v>
      </c>
      <c r="Y195" s="4">
        <f t="shared" si="173"/>
        <v>-8.0931659916506048E-3</v>
      </c>
      <c r="Z195" t="str">
        <f t="shared" si="159"/>
        <v>0.99999965326315+0.00541758449806437i</v>
      </c>
      <c r="AA195" s="4">
        <f t="shared" si="174"/>
        <v>1.0000143282714573</v>
      </c>
      <c r="AB195" s="4">
        <f t="shared" si="175"/>
        <v>5.4175333749838985E-3</v>
      </c>
      <c r="AC195" s="47" t="str">
        <f t="shared" si="176"/>
        <v>10.8926093189828-9.74720807467003i</v>
      </c>
      <c r="AD195" s="20">
        <f t="shared" si="177"/>
        <v>23.297171322390881</v>
      </c>
      <c r="AE195" s="43">
        <f t="shared" si="178"/>
        <v>-41.82364379889183</v>
      </c>
      <c r="AF195" t="str">
        <f t="shared" si="160"/>
        <v>72.2956529813786</v>
      </c>
      <c r="AG195" t="str">
        <f t="shared" si="161"/>
        <v>1+0.730343244821986i</v>
      </c>
      <c r="AH195">
        <f t="shared" si="179"/>
        <v>1.2383058003809508</v>
      </c>
      <c r="AI195">
        <f t="shared" si="180"/>
        <v>0.63080163921534249</v>
      </c>
      <c r="AJ195" t="str">
        <f t="shared" si="162"/>
        <v>1+0.0139112999013711i</v>
      </c>
      <c r="AK195">
        <f t="shared" si="181"/>
        <v>1.0000967574514708</v>
      </c>
      <c r="AL195">
        <f t="shared" si="182"/>
        <v>1.3910402614194283E-2</v>
      </c>
      <c r="AM195" t="str">
        <f t="shared" si="163"/>
        <v>1-0.00179116465565517i</v>
      </c>
      <c r="AN195">
        <f t="shared" si="183"/>
        <v>1.0000016041341253</v>
      </c>
      <c r="AO195">
        <f t="shared" si="184"/>
        <v>-1.7911627401450889E-3</v>
      </c>
      <c r="AP195" s="41" t="str">
        <f t="shared" si="185"/>
        <v>47.5657660202068-33.8631028058296i</v>
      </c>
      <c r="AQ195">
        <f t="shared" si="186"/>
        <v>35.326539866173455</v>
      </c>
      <c r="AR195" s="43">
        <f t="shared" si="187"/>
        <v>-35.447890341283525</v>
      </c>
      <c r="AS195" t="str">
        <f t="shared" si="164"/>
        <v>-0.0000166666666666667</v>
      </c>
      <c r="AT195" t="str">
        <f t="shared" si="165"/>
        <v>0.0000125793669320909i</v>
      </c>
      <c r="AU195">
        <f t="shared" si="188"/>
        <v>1.25793669320909E-5</v>
      </c>
      <c r="AV195">
        <f t="shared" si="189"/>
        <v>1.5707963267948966</v>
      </c>
      <c r="AW195" t="str">
        <f t="shared" si="166"/>
        <v>1+0.0125684851267864i</v>
      </c>
      <c r="AX195">
        <f t="shared" si="190"/>
        <v>1.0000789802902479</v>
      </c>
      <c r="AY195">
        <f t="shared" si="191"/>
        <v>1.2567823388302446E-2</v>
      </c>
      <c r="AZ195" t="str">
        <f t="shared" si="167"/>
        <v>1+0.427328494310736i</v>
      </c>
      <c r="BA195">
        <f t="shared" si="192"/>
        <v>1.087478570846286</v>
      </c>
      <c r="BB195">
        <f t="shared" si="193"/>
        <v>0.40384124874887845</v>
      </c>
      <c r="BC195" s="41" t="str">
        <f t="shared" si="194"/>
        <v>-0.549437428570798+1.33182653665754i</v>
      </c>
      <c r="BD195">
        <f t="shared" si="195"/>
        <v>3.1715274529861825</v>
      </c>
      <c r="BE195" s="43">
        <f t="shared" si="196"/>
        <v>112.41831590878797</v>
      </c>
      <c r="BF195" s="41" t="str">
        <f t="shared" si="197"/>
        <v>6.99678311751997+19.8625470847557i</v>
      </c>
      <c r="BG195" s="20">
        <f t="shared" si="198"/>
        <v>26.468698775377053</v>
      </c>
      <c r="BH195" s="43">
        <f t="shared" si="199"/>
        <v>70.594672109896138</v>
      </c>
      <c r="BI195" s="41" t="str">
        <f t="shared" si="203"/>
        <v>18.9653667602236+81.9550055512185i</v>
      </c>
      <c r="BJ195" s="20">
        <f t="shared" si="200"/>
        <v>38.498067319159631</v>
      </c>
      <c r="BK195" s="43">
        <f t="shared" si="204"/>
        <v>76.970425567504449</v>
      </c>
      <c r="BL195">
        <f t="shared" si="201"/>
        <v>26.468698775377053</v>
      </c>
      <c r="BM195" s="43">
        <f t="shared" si="202"/>
        <v>70.594672109896138</v>
      </c>
    </row>
    <row r="196" spans="14:65" x14ac:dyDescent="0.25">
      <c r="N196" s="9">
        <v>78</v>
      </c>
      <c r="O196" s="34">
        <f t="shared" si="205"/>
        <v>602.55958607435832</v>
      </c>
      <c r="P196" s="33" t="str">
        <f t="shared" si="155"/>
        <v>19.6196196196196</v>
      </c>
      <c r="Q196" s="4" t="str">
        <f t="shared" si="156"/>
        <v>1+0.916426453826585i</v>
      </c>
      <c r="R196" s="4">
        <f t="shared" si="168"/>
        <v>1.3564060768343564</v>
      </c>
      <c r="S196" s="4">
        <f t="shared" si="169"/>
        <v>0.74181672163553269</v>
      </c>
      <c r="T196" s="4" t="str">
        <f t="shared" si="157"/>
        <v>1+0.014235335702589i</v>
      </c>
      <c r="U196" s="4">
        <f t="shared" si="170"/>
        <v>1.0001013172586892</v>
      </c>
      <c r="V196" s="4">
        <f t="shared" si="171"/>
        <v>1.423437424731723E-2</v>
      </c>
      <c r="W196" t="str">
        <f t="shared" si="158"/>
        <v>1-0.00828186086420573i</v>
      </c>
      <c r="X196" s="4">
        <f t="shared" si="172"/>
        <v>1.0000342940216471</v>
      </c>
      <c r="Y196" s="4">
        <f t="shared" si="173"/>
        <v>-8.2816715232071729E-3</v>
      </c>
      <c r="Z196" t="str">
        <f t="shared" si="159"/>
        <v>0.999999636921945+0.00554377625195812i</v>
      </c>
      <c r="AA196" s="4">
        <f t="shared" si="174"/>
        <v>1.0000150035370237</v>
      </c>
      <c r="AB196" s="4">
        <f t="shared" si="175"/>
        <v>5.5437214726348372E-3</v>
      </c>
      <c r="AC196" s="47" t="str">
        <f t="shared" si="176"/>
        <v>10.6690613804687-9.76938506242264i</v>
      </c>
      <c r="AD196" s="20">
        <f t="shared" si="177"/>
        <v>23.207064663590632</v>
      </c>
      <c r="AE196" s="43">
        <f t="shared" si="178"/>
        <v>-42.47953442233765</v>
      </c>
      <c r="AF196" t="str">
        <f t="shared" si="160"/>
        <v>72.2956529813786</v>
      </c>
      <c r="AG196" t="str">
        <f t="shared" si="161"/>
        <v>1+0.747355124385925i</v>
      </c>
      <c r="AH196">
        <f t="shared" si="179"/>
        <v>1.2484148677206233</v>
      </c>
      <c r="AI196">
        <f t="shared" si="180"/>
        <v>0.64180623831473804</v>
      </c>
      <c r="AJ196" t="str">
        <f t="shared" si="162"/>
        <v>1+0.014235335702589i</v>
      </c>
      <c r="AK196">
        <f t="shared" si="181"/>
        <v>1.0001013172586892</v>
      </c>
      <c r="AL196">
        <f t="shared" si="182"/>
        <v>1.423437424731723E-2</v>
      </c>
      <c r="AM196" t="str">
        <f t="shared" si="163"/>
        <v>1-0.0018328862401529i</v>
      </c>
      <c r="AN196">
        <f t="shared" si="183"/>
        <v>1.0000016797345739</v>
      </c>
      <c r="AO196">
        <f t="shared" si="184"/>
        <v>-1.8328841876470551E-3</v>
      </c>
      <c r="AP196" s="41" t="str">
        <f t="shared" si="185"/>
        <v>46.8179610849563-34.0929999476876i</v>
      </c>
      <c r="AQ196">
        <f t="shared" si="186"/>
        <v>35.255959626107447</v>
      </c>
      <c r="AR196" s="43">
        <f t="shared" si="187"/>
        <v>-36.062235680509502</v>
      </c>
      <c r="AS196" t="str">
        <f t="shared" si="164"/>
        <v>-0.0000166666666666667</v>
      </c>
      <c r="AT196" t="str">
        <f t="shared" si="165"/>
        <v>0.0000128723780289369i</v>
      </c>
      <c r="AU196">
        <f t="shared" si="188"/>
        <v>1.2872378028936901E-5</v>
      </c>
      <c r="AV196">
        <f t="shared" si="189"/>
        <v>1.5707963267948966</v>
      </c>
      <c r="AW196" t="str">
        <f t="shared" si="166"/>
        <v>1+0.0128612427538254i</v>
      </c>
      <c r="AX196">
        <f t="shared" si="190"/>
        <v>1.0000827023627461</v>
      </c>
      <c r="AY196">
        <f t="shared" si="191"/>
        <v>1.2860533691431683E-2</v>
      </c>
      <c r="AZ196" t="str">
        <f t="shared" si="167"/>
        <v>1+0.437282253630062i</v>
      </c>
      <c r="BA196">
        <f t="shared" si="192"/>
        <v>1.0914283161709639</v>
      </c>
      <c r="BB196">
        <f t="shared" si="193"/>
        <v>0.41222766281831213</v>
      </c>
      <c r="BC196" s="41" t="str">
        <f t="shared" si="194"/>
        <v>-0.549433338824754+1.3018284534363i</v>
      </c>
      <c r="BD196">
        <f t="shared" si="195"/>
        <v>3.0029853102448256</v>
      </c>
      <c r="BE196" s="43">
        <f t="shared" si="196"/>
        <v>112.88205097522636</v>
      </c>
      <c r="BF196" s="41" t="str">
        <f t="shared" si="197"/>
        <v>6.8561254304402+19.2569135296641i</v>
      </c>
      <c r="BG196" s="20">
        <f t="shared" si="198"/>
        <v>26.210049973835471</v>
      </c>
      <c r="BH196" s="43">
        <f t="shared" si="199"/>
        <v>70.402516552888727</v>
      </c>
      <c r="BI196" s="41" t="str">
        <f t="shared" si="203"/>
        <v>18.6598887190271+79.6807846640797i</v>
      </c>
      <c r="BJ196" s="20">
        <f t="shared" si="200"/>
        <v>38.258944936352272</v>
      </c>
      <c r="BK196" s="43">
        <f t="shared" si="204"/>
        <v>76.819815294716832</v>
      </c>
      <c r="BL196">
        <f t="shared" si="201"/>
        <v>26.210049973835471</v>
      </c>
      <c r="BM196" s="43">
        <f t="shared" si="202"/>
        <v>70.402516552888727</v>
      </c>
    </row>
    <row r="197" spans="14:65" x14ac:dyDescent="0.25">
      <c r="N197" s="9">
        <v>79</v>
      </c>
      <c r="O197" s="34">
        <f t="shared" si="205"/>
        <v>616.59500186148273</v>
      </c>
      <c r="P197" s="33" t="str">
        <f t="shared" si="155"/>
        <v>19.6196196196196</v>
      </c>
      <c r="Q197" s="4" t="str">
        <f t="shared" si="156"/>
        <v>1+0.937772768141448i</v>
      </c>
      <c r="R197" s="4">
        <f t="shared" si="168"/>
        <v>1.370918584259355</v>
      </c>
      <c r="S197" s="4">
        <f t="shared" si="169"/>
        <v>0.75329643510210764</v>
      </c>
      <c r="T197" s="4" t="str">
        <f t="shared" si="157"/>
        <v>1+0.0145669192672234i</v>
      </c>
      <c r="U197" s="4">
        <f t="shared" si="170"/>
        <v>1.000106091940719</v>
      </c>
      <c r="V197" s="4">
        <f t="shared" si="171"/>
        <v>1.4565889055240915E-2</v>
      </c>
      <c r="W197" t="str">
        <f t="shared" si="158"/>
        <v>1-0.00847477018538597i</v>
      </c>
      <c r="X197" s="4">
        <f t="shared" si="172"/>
        <v>1.0000359102200755</v>
      </c>
      <c r="Y197" s="4">
        <f t="shared" si="173"/>
        <v>-8.4745673032442115E-3</v>
      </c>
      <c r="Z197" t="str">
        <f t="shared" si="159"/>
        <v>0.999999619810604+0.00567290738940121i</v>
      </c>
      <c r="AA197" s="4">
        <f t="shared" si="174"/>
        <v>1.0000157106263887</v>
      </c>
      <c r="AB197" s="4">
        <f t="shared" si="175"/>
        <v>5.6728486923485781E-3</v>
      </c>
      <c r="AC197" s="47" t="str">
        <f t="shared" si="176"/>
        <v>10.444615587603-9.78646475284395i</v>
      </c>
      <c r="AD197" s="20">
        <f t="shared" si="177"/>
        <v>23.114675287681617</v>
      </c>
      <c r="AE197" s="43">
        <f t="shared" si="178"/>
        <v>-43.136729713443501</v>
      </c>
      <c r="AF197" t="str">
        <f t="shared" si="160"/>
        <v>72.2956529813786</v>
      </c>
      <c r="AG197" t="str">
        <f t="shared" si="161"/>
        <v>1+0.764763261529229i</v>
      </c>
      <c r="AH197">
        <f t="shared" si="179"/>
        <v>1.2589133592844362</v>
      </c>
      <c r="AI197">
        <f t="shared" si="180"/>
        <v>0.65288283660912627</v>
      </c>
      <c r="AJ197" t="str">
        <f t="shared" si="162"/>
        <v>1+0.0145669192672234i</v>
      </c>
      <c r="AK197">
        <f t="shared" si="181"/>
        <v>1.000106091940719</v>
      </c>
      <c r="AL197">
        <f t="shared" si="182"/>
        <v>1.4565889055240915E-2</v>
      </c>
      <c r="AM197" t="str">
        <f t="shared" si="163"/>
        <v>1-0.00187557964519628i</v>
      </c>
      <c r="AN197">
        <f t="shared" si="183"/>
        <v>1.000001758897956</v>
      </c>
      <c r="AO197">
        <f t="shared" si="184"/>
        <v>-1.8755774458968518E-3</v>
      </c>
      <c r="AP197" s="41" t="str">
        <f t="shared" si="185"/>
        <v>46.0603392947446-34.3077266210089i</v>
      </c>
      <c r="AQ197">
        <f t="shared" si="186"/>
        <v>35.183263580988715</v>
      </c>
      <c r="AR197" s="43">
        <f t="shared" si="187"/>
        <v>-36.680329758310961</v>
      </c>
      <c r="AS197" t="str">
        <f t="shared" si="164"/>
        <v>-0.0000166666666666667</v>
      </c>
      <c r="AT197" t="str">
        <f t="shared" si="165"/>
        <v>0.0000131722142309999i</v>
      </c>
      <c r="AU197">
        <f t="shared" si="188"/>
        <v>1.31722142309999E-5</v>
      </c>
      <c r="AV197">
        <f t="shared" si="189"/>
        <v>1.5707963267948966</v>
      </c>
      <c r="AW197" t="str">
        <f t="shared" si="166"/>
        <v>1+0.0131608195820112i</v>
      </c>
      <c r="AX197">
        <f t="shared" si="190"/>
        <v>1.0000865998362694</v>
      </c>
      <c r="AY197">
        <f t="shared" si="191"/>
        <v>1.3160059811520948E-2</v>
      </c>
      <c r="AZ197" t="str">
        <f t="shared" si="167"/>
        <v>1+0.447467865788379i</v>
      </c>
      <c r="BA197">
        <f t="shared" si="192"/>
        <v>1.0955489450103115</v>
      </c>
      <c r="BB197">
        <f t="shared" si="193"/>
        <v>0.42074620711063832</v>
      </c>
      <c r="BC197" s="41" t="str">
        <f t="shared" si="194"/>
        <v>-0.549429056400176+1.2725206119345i</v>
      </c>
      <c r="BD197">
        <f t="shared" si="195"/>
        <v>2.8356828197820687</v>
      </c>
      <c r="BE197" s="43">
        <f t="shared" si="196"/>
        <v>113.35296602823699</v>
      </c>
      <c r="BF197" s="41" t="str">
        <f t="shared" si="197"/>
        <v>6.71490282920511+18.6679567136058i</v>
      </c>
      <c r="BG197" s="20">
        <f t="shared" si="198"/>
        <v>25.950358107463675</v>
      </c>
      <c r="BH197" s="43">
        <f t="shared" si="199"/>
        <v>70.216236314793477</v>
      </c>
      <c r="BI197" s="41" t="str">
        <f t="shared" si="203"/>
        <v>18.3504005176643+77.4623930098752i</v>
      </c>
      <c r="BJ197" s="20">
        <f t="shared" si="200"/>
        <v>38.018946400770787</v>
      </c>
      <c r="BK197" s="43">
        <f t="shared" si="204"/>
        <v>76.672636269926031</v>
      </c>
      <c r="BL197">
        <f t="shared" si="201"/>
        <v>25.950358107463675</v>
      </c>
      <c r="BM197" s="43">
        <f t="shared" si="202"/>
        <v>70.216236314793477</v>
      </c>
    </row>
    <row r="198" spans="14:65" x14ac:dyDescent="0.25">
      <c r="N198" s="9">
        <v>80</v>
      </c>
      <c r="O198" s="34">
        <f t="shared" si="205"/>
        <v>630.95734448019323</v>
      </c>
      <c r="P198" s="33" t="str">
        <f t="shared" si="155"/>
        <v>19.6196196196196</v>
      </c>
      <c r="Q198" s="4" t="str">
        <f t="shared" si="156"/>
        <v>1+0.959616301990867i</v>
      </c>
      <c r="R198" s="4">
        <f t="shared" si="168"/>
        <v>1.3859521806493278</v>
      </c>
      <c r="S198" s="4">
        <f t="shared" si="169"/>
        <v>0.76479311811426109</v>
      </c>
      <c r="T198" s="4" t="str">
        <f t="shared" si="157"/>
        <v>1+0.0149062264052692i</v>
      </c>
      <c r="U198" s="4">
        <f t="shared" si="170"/>
        <v>1.0001110916221483</v>
      </c>
      <c r="V198" s="4">
        <f t="shared" si="171"/>
        <v>1.4905122519863916E-2</v>
      </c>
      <c r="W198" t="str">
        <f t="shared" si="158"/>
        <v>1-0.00867217294189532i</v>
      </c>
      <c r="X198" s="4">
        <f t="shared" si="172"/>
        <v>1.0000376025847899</v>
      </c>
      <c r="Y198" s="4">
        <f t="shared" si="173"/>
        <v>-8.671955550205215E-3</v>
      </c>
      <c r="Z198" t="str">
        <f t="shared" si="159"/>
        <v>0.999999601892829+0.00580504637743196i</v>
      </c>
      <c r="AA198" s="4">
        <f t="shared" si="174"/>
        <v>1.0000164510393119</v>
      </c>
      <c r="AB198" s="4">
        <f t="shared" si="175"/>
        <v>5.8049834824627829E-3</v>
      </c>
      <c r="AC198" s="47" t="str">
        <f t="shared" si="176"/>
        <v>10.2195057429445-9.79840240136457i</v>
      </c>
      <c r="AD198" s="20">
        <f t="shared" si="177"/>
        <v>23.019995331188149</v>
      </c>
      <c r="AE198" s="43">
        <f t="shared" si="178"/>
        <v>-43.794884761924003</v>
      </c>
      <c r="AF198" t="str">
        <f t="shared" si="160"/>
        <v>72.2956529813786</v>
      </c>
      <c r="AG198" t="str">
        <f t="shared" si="161"/>
        <v>1+0.782576886276633i</v>
      </c>
      <c r="AH198">
        <f t="shared" si="179"/>
        <v>1.2698136016496397</v>
      </c>
      <c r="AI198">
        <f t="shared" si="180"/>
        <v>0.66402643548852536</v>
      </c>
      <c r="AJ198" t="str">
        <f t="shared" si="162"/>
        <v>1+0.0149062264052692i</v>
      </c>
      <c r="AK198">
        <f t="shared" si="181"/>
        <v>1.0001110916221483</v>
      </c>
      <c r="AL198">
        <f t="shared" si="182"/>
        <v>1.4905122519863916E-2</v>
      </c>
      <c r="AM198" t="str">
        <f t="shared" si="163"/>
        <v>1-0.00191926750739378i</v>
      </c>
      <c r="AN198">
        <f t="shared" si="183"/>
        <v>1.0000018417921863</v>
      </c>
      <c r="AO198">
        <f t="shared" si="184"/>
        <v>-1.9192651508022193E-3</v>
      </c>
      <c r="AP198" s="41" t="str">
        <f t="shared" si="185"/>
        <v>45.2935246969223-34.506764852047i</v>
      </c>
      <c r="AQ198">
        <f t="shared" si="186"/>
        <v>35.108425072454679</v>
      </c>
      <c r="AR198" s="43">
        <f t="shared" si="187"/>
        <v>-37.301877418002434</v>
      </c>
      <c r="AS198" t="str">
        <f t="shared" si="164"/>
        <v>-0.0000166666666666667</v>
      </c>
      <c r="AT198" t="str">
        <f t="shared" si="165"/>
        <v>0.000013479034515403i</v>
      </c>
      <c r="AU198">
        <f t="shared" si="188"/>
        <v>1.3479034515403E-5</v>
      </c>
      <c r="AV198">
        <f t="shared" si="189"/>
        <v>1.5707963267948966</v>
      </c>
      <c r="AW198" t="str">
        <f t="shared" si="166"/>
        <v>1+0.0134673744509433i</v>
      </c>
      <c r="AX198">
        <f t="shared" si="190"/>
        <v>1.0000906809757812</v>
      </c>
      <c r="AY198">
        <f t="shared" si="191"/>
        <v>1.3466560346182193E-2</v>
      </c>
      <c r="AZ198" t="str">
        <f t="shared" si="167"/>
        <v>1+0.457890731332072i</v>
      </c>
      <c r="BA198">
        <f t="shared" si="192"/>
        <v>1.0998472265909569</v>
      </c>
      <c r="BB198">
        <f t="shared" si="193"/>
        <v>0.4293964519989461</v>
      </c>
      <c r="BC198" s="41" t="str">
        <f t="shared" si="194"/>
        <v>-0.549424572222693+1.24388747239217i</v>
      </c>
      <c r="BD198">
        <f t="shared" si="195"/>
        <v>2.6696589554033161</v>
      </c>
      <c r="BE198" s="43">
        <f t="shared" si="196"/>
        <v>113.83102736503696</v>
      </c>
      <c r="BF198" s="41" t="str">
        <f t="shared" si="197"/>
        <v>6.57326242537011+18.095398215524i</v>
      </c>
      <c r="BG198" s="20">
        <f t="shared" si="198"/>
        <v>25.689654286591448</v>
      </c>
      <c r="BH198" s="43">
        <f t="shared" si="199"/>
        <v>70.036142603112921</v>
      </c>
      <c r="BI198" s="41" t="str">
        <f t="shared" si="203"/>
        <v>18.0371570811792+75.298912468612i</v>
      </c>
      <c r="BJ198" s="20">
        <f t="shared" si="200"/>
        <v>37.778084027858</v>
      </c>
      <c r="BK198" s="43">
        <f t="shared" si="204"/>
        <v>76.52914994703454</v>
      </c>
      <c r="BL198">
        <f t="shared" si="201"/>
        <v>25.689654286591448</v>
      </c>
      <c r="BM198" s="43">
        <f t="shared" si="202"/>
        <v>70.036142603112921</v>
      </c>
    </row>
    <row r="199" spans="14:65" x14ac:dyDescent="0.25">
      <c r="N199" s="9">
        <v>81</v>
      </c>
      <c r="O199" s="34">
        <f t="shared" si="205"/>
        <v>645.65422903465594</v>
      </c>
      <c r="P199" s="33" t="str">
        <f t="shared" si="155"/>
        <v>19.6196196196196</v>
      </c>
      <c r="Q199" s="4" t="str">
        <f t="shared" si="156"/>
        <v>1+0.981968637105625i</v>
      </c>
      <c r="R199" s="4">
        <f t="shared" si="168"/>
        <v>1.401521460506074</v>
      </c>
      <c r="S199" s="4">
        <f t="shared" si="169"/>
        <v>0.77630071094185404</v>
      </c>
      <c r="T199" s="4" t="str">
        <f t="shared" si="157"/>
        <v>1+0.0152534370218623i</v>
      </c>
      <c r="U199" s="4">
        <f t="shared" si="170"/>
        <v>1.0001163269045155</v>
      </c>
      <c r="V199" s="4">
        <f t="shared" si="171"/>
        <v>1.5252254194770156E-2</v>
      </c>
      <c r="W199" t="str">
        <f t="shared" si="158"/>
        <v>1-0.00887417379928824i</v>
      </c>
      <c r="X199" s="4">
        <f t="shared" si="172"/>
        <v>1.0000393747051262</v>
      </c>
      <c r="Y199" s="4">
        <f t="shared" si="173"/>
        <v>-8.873940860390837E-3</v>
      </c>
      <c r="Z199" t="str">
        <f t="shared" si="159"/>
        <v>0.999999583130617+0.0059402632778909i</v>
      </c>
      <c r="AA199" s="4">
        <f t="shared" si="174"/>
        <v>1.0000172263462357</v>
      </c>
      <c r="AB199" s="4">
        <f t="shared" si="175"/>
        <v>5.9401958847799079E-3</v>
      </c>
      <c r="AC199" s="47" t="str">
        <f t="shared" si="176"/>
        <v>9.99396844486313-9.80516668533366i</v>
      </c>
      <c r="AD199" s="20">
        <f t="shared" si="177"/>
        <v>22.923019335433015</v>
      </c>
      <c r="AE199" s="43">
        <f t="shared" si="178"/>
        <v>-44.453652089180423</v>
      </c>
      <c r="AF199" t="str">
        <f t="shared" si="160"/>
        <v>72.2956529813786</v>
      </c>
      <c r="AG199" t="str">
        <f t="shared" si="161"/>
        <v>1+0.80080544364777i</v>
      </c>
      <c r="AH199">
        <f t="shared" si="179"/>
        <v>1.281128158528998</v>
      </c>
      <c r="AI199">
        <f t="shared" si="180"/>
        <v>0.67523187347300218</v>
      </c>
      <c r="AJ199" t="str">
        <f t="shared" si="162"/>
        <v>1+0.0152534370218623i</v>
      </c>
      <c r="AK199">
        <f t="shared" si="181"/>
        <v>1.0001163269045155</v>
      </c>
      <c r="AL199">
        <f t="shared" si="182"/>
        <v>1.5252254194770156E-2</v>
      </c>
      <c r="AM199" t="str">
        <f t="shared" si="163"/>
        <v>1-0.0019639729906282i</v>
      </c>
      <c r="AN199">
        <f t="shared" si="183"/>
        <v>1.0000019285930941</v>
      </c>
      <c r="AO199">
        <f t="shared" si="184"/>
        <v>-1.963970465495111E-3</v>
      </c>
      <c r="AP199" s="41" t="str">
        <f t="shared" si="185"/>
        <v>44.5181762833832-34.6896274290937i</v>
      </c>
      <c r="AQ199">
        <f t="shared" si="186"/>
        <v>35.031419251514748</v>
      </c>
      <c r="AR199" s="43">
        <f t="shared" si="187"/>
        <v>-37.926573968054811</v>
      </c>
      <c r="AS199" t="str">
        <f t="shared" si="164"/>
        <v>-0.0000166666666666667</v>
      </c>
      <c r="AT199" t="str">
        <f t="shared" si="165"/>
        <v>0.0000137930015623223i</v>
      </c>
      <c r="AU199">
        <f t="shared" si="188"/>
        <v>1.37930015623223E-5</v>
      </c>
      <c r="AV199">
        <f t="shared" si="189"/>
        <v>1.5707963267948966</v>
      </c>
      <c r="AW199" t="str">
        <f t="shared" si="166"/>
        <v>1+0.0137810699000712i</v>
      </c>
      <c r="AX199">
        <f t="shared" si="190"/>
        <v>1.0000949544356228</v>
      </c>
      <c r="AY199">
        <f t="shared" si="191"/>
        <v>1.3780197575576338E-2</v>
      </c>
      <c r="AZ199" t="str">
        <f t="shared" si="167"/>
        <v>1+0.468556376602419i</v>
      </c>
      <c r="BA199">
        <f t="shared" si="192"/>
        <v>1.1043301490291695</v>
      </c>
      <c r="BB199">
        <f t="shared" si="193"/>
        <v>0.438177804764256</v>
      </c>
      <c r="BC199" s="41" t="str">
        <f t="shared" si="194"/>
        <v>-0.549419876790888+1.21591385275987i</v>
      </c>
      <c r="BD199">
        <f t="shared" si="195"/>
        <v>2.5049531374958685</v>
      </c>
      <c r="BE199" s="43">
        <f t="shared" si="196"/>
        <v>114.31619172736229</v>
      </c>
      <c r="BF199" s="41" t="str">
        <f t="shared" si="197"/>
        <v>6.43135308968805+17.5389581483242i</v>
      </c>
      <c r="BG199" s="20">
        <f t="shared" si="198"/>
        <v>25.427972472928868</v>
      </c>
      <c r="BH199" s="43">
        <f t="shared" si="199"/>
        <v>69.862539638181843</v>
      </c>
      <c r="BI199" s="41" t="str">
        <f t="shared" si="203"/>
        <v>17.7204276095424+73.189438070586i</v>
      </c>
      <c r="BJ199" s="20">
        <f t="shared" si="200"/>
        <v>37.536372389010623</v>
      </c>
      <c r="BK199" s="43">
        <f t="shared" si="204"/>
        <v>76.389617759307455</v>
      </c>
      <c r="BL199">
        <f t="shared" si="201"/>
        <v>25.427972472928868</v>
      </c>
      <c r="BM199" s="43">
        <f t="shared" si="202"/>
        <v>69.862539638181843</v>
      </c>
    </row>
    <row r="200" spans="14:65" x14ac:dyDescent="0.25">
      <c r="N200" s="9">
        <v>82</v>
      </c>
      <c r="O200" s="34">
        <f t="shared" si="205"/>
        <v>660.69344800759643</v>
      </c>
      <c r="P200" s="33" t="str">
        <f t="shared" si="155"/>
        <v>19.6196196196196</v>
      </c>
      <c r="Q200" s="4" t="str">
        <f t="shared" si="156"/>
        <v>1+1.00484162498967i</v>
      </c>
      <c r="R200" s="4">
        <f t="shared" si="168"/>
        <v>1.4176412421031919</v>
      </c>
      <c r="S200" s="4">
        <f t="shared" si="169"/>
        <v>0.78781312501692702</v>
      </c>
      <c r="T200" s="4" t="str">
        <f t="shared" si="157"/>
        <v>1+0.0156087352126675i</v>
      </c>
      <c r="U200" s="4">
        <f t="shared" si="170"/>
        <v>1.0001218088887669</v>
      </c>
      <c r="V200" s="4">
        <f t="shared" si="171"/>
        <v>1.5607467798940415E-2</v>
      </c>
      <c r="W200" t="str">
        <f t="shared" si="158"/>
        <v>1-0.00908087986109314i</v>
      </c>
      <c r="X200" s="4">
        <f t="shared" si="172"/>
        <v>1.0000412303395554</v>
      </c>
      <c r="Y200" s="4">
        <f t="shared" si="173"/>
        <v>-9.0806302631234129E-3</v>
      </c>
      <c r="Z200" t="str">
        <f t="shared" si="159"/>
        <v>0.999999563484168+0.00607862978456847i</v>
      </c>
      <c r="AA200" s="4">
        <f t="shared" si="174"/>
        <v>1.000018038191604</v>
      </c>
      <c r="AB200" s="4">
        <f t="shared" si="175"/>
        <v>6.0785575716193439E-3</v>
      </c>
      <c r="AC200" s="47" t="str">
        <f t="shared" si="176"/>
        <v>9.76824209788465-9.80673990552763i</v>
      </c>
      <c r="AD200" s="20">
        <f t="shared" si="177"/>
        <v>22.82374427025762</v>
      </c>
      <c r="AE200" s="43">
        <f t="shared" si="178"/>
        <v>-45.112682558493368</v>
      </c>
      <c r="AF200" t="str">
        <f t="shared" si="160"/>
        <v>72.2956529813786</v>
      </c>
      <c r="AG200" t="str">
        <f t="shared" si="161"/>
        <v>1+0.819458598665044i</v>
      </c>
      <c r="AH200">
        <f t="shared" si="179"/>
        <v>1.2928698290725473</v>
      </c>
      <c r="AI200">
        <f t="shared" si="180"/>
        <v>0.68649383663225361</v>
      </c>
      <c r="AJ200" t="str">
        <f t="shared" si="162"/>
        <v>1+0.0156087352126675i</v>
      </c>
      <c r="AK200">
        <f t="shared" si="181"/>
        <v>1.0001218088887669</v>
      </c>
      <c r="AL200">
        <f t="shared" si="182"/>
        <v>1.5607467798940415E-2</v>
      </c>
      <c r="AM200" t="str">
        <f t="shared" si="163"/>
        <v>1-0.00200971979833852i</v>
      </c>
      <c r="AN200">
        <f t="shared" si="183"/>
        <v>1.0000020194847947</v>
      </c>
      <c r="AO200">
        <f t="shared" si="184"/>
        <v>-2.0097170926099621E-3</v>
      </c>
      <c r="AP200" s="41" t="str">
        <f t="shared" si="185"/>
        <v>43.7349860723695-34.8558607002163i</v>
      </c>
      <c r="AQ200">
        <f t="shared" si="186"/>
        <v>34.952223174419878</v>
      </c>
      <c r="AR200" s="43">
        <f t="shared" si="187"/>
        <v>-38.554105774427725</v>
      </c>
      <c r="AS200" t="str">
        <f t="shared" si="164"/>
        <v>-0.0000166666666666667</v>
      </c>
      <c r="AT200" t="str">
        <f t="shared" si="165"/>
        <v>0.0000141142818412419i</v>
      </c>
      <c r="AU200">
        <f t="shared" si="188"/>
        <v>1.4114281841241899E-5</v>
      </c>
      <c r="AV200">
        <f t="shared" si="189"/>
        <v>1.5707963267948966</v>
      </c>
      <c r="AW200" t="str">
        <f t="shared" si="166"/>
        <v>1+0.0141020722548741i</v>
      </c>
      <c r="AX200">
        <f t="shared" si="190"/>
        <v>1.0000994292778502</v>
      </c>
      <c r="AY200">
        <f t="shared" si="191"/>
        <v>1.4101137547356318E-2</v>
      </c>
      <c r="AZ200" t="str">
        <f t="shared" si="167"/>
        <v>1+0.479470456665718i</v>
      </c>
      <c r="BA200">
        <f t="shared" si="192"/>
        <v>1.1090049228092869</v>
      </c>
      <c r="BB200">
        <f t="shared" si="193"/>
        <v>0.44708950318115864</v>
      </c>
      <c r="BC200" s="41" t="str">
        <f t="shared" si="194"/>
        <v>-0.549414960156216+1.18858492064722i</v>
      </c>
      <c r="BD200">
        <f t="shared" si="195"/>
        <v>2.3416051747528357</v>
      </c>
      <c r="BE200" s="43">
        <f t="shared" si="196"/>
        <v>114.80840592908429</v>
      </c>
      <c r="BF200" s="41" t="str">
        <f t="shared" si="197"/>
        <v>6.28932482941392+16.9983548732349i</v>
      </c>
      <c r="BG200" s="20">
        <f t="shared" si="198"/>
        <v>25.16534944501046</v>
      </c>
      <c r="BH200" s="43">
        <f t="shared" si="199"/>
        <v>69.695723370590898</v>
      </c>
      <c r="BI200" s="41" t="str">
        <f t="shared" si="203"/>
        <v>17.4004947940736+71.1330762681545i</v>
      </c>
      <c r="BJ200" s="20">
        <f t="shared" si="200"/>
        <v>37.293828349172713</v>
      </c>
      <c r="BK200" s="43">
        <f t="shared" si="204"/>
        <v>76.254300154656548</v>
      </c>
      <c r="BL200">
        <f t="shared" si="201"/>
        <v>25.16534944501046</v>
      </c>
      <c r="BM200" s="43">
        <f t="shared" si="202"/>
        <v>69.695723370590898</v>
      </c>
    </row>
    <row r="201" spans="14:65" x14ac:dyDescent="0.25">
      <c r="N201" s="9">
        <v>83</v>
      </c>
      <c r="O201" s="34">
        <f t="shared" si="205"/>
        <v>676.08297539198213</v>
      </c>
      <c r="P201" s="33" t="str">
        <f t="shared" si="155"/>
        <v>19.6196196196196</v>
      </c>
      <c r="Q201" s="4" t="str">
        <f t="shared" si="156"/>
        <v>1+1.02824739320393i</v>
      </c>
      <c r="R201" s="4">
        <f t="shared" si="168"/>
        <v>1.4343265672888714</v>
      </c>
      <c r="S201" s="4">
        <f t="shared" si="169"/>
        <v>0.79932425900664539</v>
      </c>
      <c r="T201" s="4" t="str">
        <f t="shared" si="157"/>
        <v>1+0.0159723093614885i</v>
      </c>
      <c r="U201" s="4">
        <f t="shared" si="170"/>
        <v>1.0001275491987704</v>
      </c>
      <c r="V201" s="4">
        <f t="shared" si="171"/>
        <v>1.5970951312566217E-2</v>
      </c>
      <c r="W201" t="str">
        <f t="shared" si="158"/>
        <v>1-0.00929240072560004i</v>
      </c>
      <c r="X201" s="4">
        <f t="shared" si="172"/>
        <v>1.0000431734236503</v>
      </c>
      <c r="Y201" s="4">
        <f t="shared" si="173"/>
        <v>-9.2921332771805226E-3</v>
      </c>
      <c r="Z201" t="str">
        <f t="shared" si="159"/>
        <v>0.99999954291181+0.00622021926121798i</v>
      </c>
      <c r="AA201" s="4">
        <f t="shared" si="174"/>
        <v>1.0000188882973595</v>
      </c>
      <c r="AB201" s="4">
        <f t="shared" si="175"/>
        <v>6.220141883727829E-3</v>
      </c>
      <c r="AC201" s="47" t="str">
        <f t="shared" si="176"/>
        <v>9.54256590684941-9.80311810049741i</v>
      </c>
      <c r="AD201" s="20">
        <f t="shared" si="177"/>
        <v>22.722169547568122</v>
      </c>
      <c r="AE201" s="43">
        <f t="shared" si="178"/>
        <v>-45.771626295849401</v>
      </c>
      <c r="AF201" t="str">
        <f t="shared" si="160"/>
        <v>72.2956529813786</v>
      </c>
      <c r="AG201" t="str">
        <f t="shared" si="161"/>
        <v>1+0.838546241478147i</v>
      </c>
      <c r="AH201">
        <f t="shared" si="179"/>
        <v>1.305051646141687</v>
      </c>
      <c r="AI201">
        <f t="shared" si="180"/>
        <v>0.69780686988961538</v>
      </c>
      <c r="AJ201" t="str">
        <f t="shared" si="162"/>
        <v>1+0.0159723093614885i</v>
      </c>
      <c r="AK201">
        <f t="shared" si="181"/>
        <v>1.0001275491987704</v>
      </c>
      <c r="AL201">
        <f t="shared" si="182"/>
        <v>1.5970951312566217E-2</v>
      </c>
      <c r="AM201" t="str">
        <f t="shared" si="163"/>
        <v>1-0.00205653218608769i</v>
      </c>
      <c r="AN201">
        <f t="shared" si="183"/>
        <v>1.0000021146600804</v>
      </c>
      <c r="AO201">
        <f t="shared" si="184"/>
        <v>-2.0565292868476364E-3</v>
      </c>
      <c r="AP201" s="41" t="str">
        <f t="shared" si="185"/>
        <v>42.9446769284473-35.0050472322038i</v>
      </c>
      <c r="AQ201">
        <f t="shared" si="186"/>
        <v>34.870815892774431</v>
      </c>
      <c r="AR201" s="43">
        <f t="shared" si="187"/>
        <v>-39.184150903471966</v>
      </c>
      <c r="AS201" t="str">
        <f t="shared" si="164"/>
        <v>-0.0000166666666666667</v>
      </c>
      <c r="AT201" t="str">
        <f t="shared" si="165"/>
        <v>0.0000144430456992183i</v>
      </c>
      <c r="AU201">
        <f t="shared" si="188"/>
        <v>1.44430456992183E-5</v>
      </c>
      <c r="AV201">
        <f t="shared" si="189"/>
        <v>1.5707963267948966</v>
      </c>
      <c r="AW201" t="str">
        <f t="shared" si="166"/>
        <v>1+0.0144305517150495i</v>
      </c>
      <c r="AX201">
        <f t="shared" si="190"/>
        <v>1.0001041149914347</v>
      </c>
      <c r="AY201">
        <f t="shared" si="191"/>
        <v>1.4429550163530666E-2</v>
      </c>
      <c r="AZ201" t="str">
        <f t="shared" si="167"/>
        <v>1+0.490638758311682i</v>
      </c>
      <c r="BA201">
        <f t="shared" si="192"/>
        <v>1.1138789840721608</v>
      </c>
      <c r="BB201">
        <f t="shared" si="193"/>
        <v>0.4561306093262924</v>
      </c>
      <c r="BC201" s="41" t="str">
        <f t="shared" si="194"/>
        <v>-0.549409811902004+1.16188618545663i</v>
      </c>
      <c r="BD201">
        <f t="shared" si="195"/>
        <v>2.1796552009420749</v>
      </c>
      <c r="BE201" s="43">
        <f t="shared" si="196"/>
        <v>115.30760649648448</v>
      </c>
      <c r="BF201" s="41" t="str">
        <f t="shared" si="197"/>
        <v>6.14732815542317+16.4733047726252i</v>
      </c>
      <c r="BG201" s="20">
        <f t="shared" si="198"/>
        <v>24.901824748510215</v>
      </c>
      <c r="BH201" s="43">
        <f t="shared" si="199"/>
        <v>69.535980200635123</v>
      </c>
      <c r="BI201" s="41" t="str">
        <f t="shared" si="203"/>
        <v>17.0776539269039+69.1289432775268i</v>
      </c>
      <c r="BJ201" s="20">
        <f t="shared" si="200"/>
        <v>37.050471093716503</v>
      </c>
      <c r="BK201" s="43">
        <f t="shared" si="204"/>
        <v>76.123455593012494</v>
      </c>
      <c r="BL201">
        <f t="shared" si="201"/>
        <v>24.901824748510215</v>
      </c>
      <c r="BM201" s="43">
        <f t="shared" si="202"/>
        <v>69.535980200635123</v>
      </c>
    </row>
    <row r="202" spans="14:65" x14ac:dyDescent="0.25">
      <c r="N202" s="9">
        <v>84</v>
      </c>
      <c r="O202" s="34">
        <f t="shared" si="205"/>
        <v>691.83097091893671</v>
      </c>
      <c r="P202" s="33" t="str">
        <f t="shared" si="155"/>
        <v>19.6196196196196</v>
      </c>
      <c r="Q202" s="4" t="str">
        <f t="shared" si="156"/>
        <v>1+1.05219835179654i</v>
      </c>
      <c r="R202" s="4">
        <f t="shared" si="168"/>
        <v>1.4515927016637125</v>
      </c>
      <c r="S202" s="4">
        <f t="shared" si="169"/>
        <v>0.81082801496862644</v>
      </c>
      <c r="T202" s="4" t="str">
        <f t="shared" si="157"/>
        <v>1+0.0163443522401515i</v>
      </c>
      <c r="U202" s="4">
        <f t="shared" si="170"/>
        <v>1.0001335600059376</v>
      </c>
      <c r="V202" s="4">
        <f t="shared" si="171"/>
        <v>1.6342897075009015E-2</v>
      </c>
      <c r="W202" t="str">
        <f t="shared" si="158"/>
        <v>1-0.00950884854397111i</v>
      </c>
      <c r="X202" s="4">
        <f t="shared" si="172"/>
        <v>1.000045208078431</v>
      </c>
      <c r="Y202" s="4">
        <f t="shared" si="173"/>
        <v>-9.5085619685261209E-3</v>
      </c>
      <c r="Z202" t="str">
        <f t="shared" si="159"/>
        <v>0.999999521369908+0.00636510678045413i</v>
      </c>
      <c r="AA202" s="4">
        <f t="shared" si="174"/>
        <v>1.0000197784665921</v>
      </c>
      <c r="AB202" s="4">
        <f t="shared" si="175"/>
        <v>6.3650238690681898E-3</v>
      </c>
      <c r="AC202" s="47" t="str">
        <f t="shared" si="176"/>
        <v>9.31717886387861-9.79431107238679i</v>
      </c>
      <c r="AD202" s="20">
        <f t="shared" si="177"/>
        <v>22.618297024589346</v>
      </c>
      <c r="AE202" s="43">
        <f t="shared" si="178"/>
        <v>-46.430133615490703</v>
      </c>
      <c r="AF202" t="str">
        <f t="shared" si="160"/>
        <v>72.2956529813786</v>
      </c>
      <c r="AG202" t="str">
        <f t="shared" si="161"/>
        <v>1+0.858078492607952i</v>
      </c>
      <c r="AH202">
        <f t="shared" si="179"/>
        <v>1.3176868745936323</v>
      </c>
      <c r="AI202">
        <f t="shared" si="180"/>
        <v>0.70916538916100302</v>
      </c>
      <c r="AJ202" t="str">
        <f t="shared" si="162"/>
        <v>1+0.0163443522401515i</v>
      </c>
      <c r="AK202">
        <f t="shared" si="181"/>
        <v>1.0001335600059376</v>
      </c>
      <c r="AL202">
        <f t="shared" si="182"/>
        <v>1.6342897075009015E-2</v>
      </c>
      <c r="AM202" t="str">
        <f t="shared" si="163"/>
        <v>1-0.00210443497442336i</v>
      </c>
      <c r="AN202">
        <f t="shared" si="183"/>
        <v>1.0000022143208291</v>
      </c>
      <c r="AO202">
        <f t="shared" si="184"/>
        <v>-2.1044318678320436E-3</v>
      </c>
      <c r="AP202" s="41" t="str">
        <f t="shared" si="185"/>
        <v>42.1480001321861-35.1368083027394i</v>
      </c>
      <c r="AQ202">
        <f t="shared" si="186"/>
        <v>34.787178537169737</v>
      </c>
      <c r="AR202" s="43">
        <f t="shared" si="187"/>
        <v>-39.81637981256295</v>
      </c>
      <c r="AS202" t="str">
        <f t="shared" si="164"/>
        <v>-0.0000166666666666667</v>
      </c>
      <c r="AT202" t="str">
        <f t="shared" si="165"/>
        <v>0.0000147794674512008i</v>
      </c>
      <c r="AU202">
        <f t="shared" si="188"/>
        <v>1.47794674512008E-5</v>
      </c>
      <c r="AV202">
        <f t="shared" si="189"/>
        <v>1.5707963267948966</v>
      </c>
      <c r="AW202" t="str">
        <f t="shared" si="166"/>
        <v>1+0.0147666824447552i</v>
      </c>
      <c r="AX202">
        <f t="shared" si="190"/>
        <v>1.0001090215123671</v>
      </c>
      <c r="AY202">
        <f t="shared" si="191"/>
        <v>1.4765609269285825E-2</v>
      </c>
      <c r="AZ202" t="str">
        <f t="shared" si="167"/>
        <v>1+0.502067203121674i</v>
      </c>
      <c r="BA202">
        <f t="shared" si="192"/>
        <v>1.1189599976989437</v>
      </c>
      <c r="BB202">
        <f t="shared" si="193"/>
        <v>0.46530000365883806</v>
      </c>
      <c r="BC202" s="41" t="str">
        <f t="shared" si="194"/>
        <v>-0.549404421121453+1.13580349069805i</v>
      </c>
      <c r="BD202">
        <f t="shared" si="195"/>
        <v>2.0191436067006743</v>
      </c>
      <c r="BE202" s="43">
        <f t="shared" si="196"/>
        <v>115.81371932400376</v>
      </c>
      <c r="BF202" s="41" t="str">
        <f t="shared" si="197"/>
        <v>6.00551344480521+15.9635220820595i</v>
      </c>
      <c r="BG202" s="20">
        <f t="shared" si="198"/>
        <v>24.637440631290008</v>
      </c>
      <c r="BH202" s="43">
        <f t="shared" si="199"/>
        <v>69.383585708513067</v>
      </c>
      <c r="BI202" s="41" t="str">
        <f t="shared" si="203"/>
        <v>16.752211908189+67.1761635017009i</v>
      </c>
      <c r="BJ202" s="20">
        <f t="shared" si="200"/>
        <v>36.80632214387041</v>
      </c>
      <c r="BK202" s="43">
        <f t="shared" si="204"/>
        <v>75.997339511440856</v>
      </c>
      <c r="BL202">
        <f t="shared" si="201"/>
        <v>24.637440631290008</v>
      </c>
      <c r="BM202" s="43">
        <f t="shared" si="202"/>
        <v>69.383585708513067</v>
      </c>
    </row>
    <row r="203" spans="14:65" x14ac:dyDescent="0.25">
      <c r="N203" s="9">
        <v>85</v>
      </c>
      <c r="O203" s="34">
        <f t="shared" si="205"/>
        <v>707.94578438413873</v>
      </c>
      <c r="P203" s="33" t="str">
        <f t="shared" si="155"/>
        <v>19.6196196196196</v>
      </c>
      <c r="Q203" s="4" t="str">
        <f t="shared" si="156"/>
        <v>1+1.07670719988276i</v>
      </c>
      <c r="R203" s="4">
        <f t="shared" si="168"/>
        <v>1.4694551351706433</v>
      </c>
      <c r="S203" s="4">
        <f t="shared" si="169"/>
        <v>0.82231831448433546</v>
      </c>
      <c r="T203" s="4" t="str">
        <f t="shared" si="157"/>
        <v>1+0.0167250611107153i</v>
      </c>
      <c r="U203" s="4">
        <f t="shared" si="170"/>
        <v>1.0001398540550002</v>
      </c>
      <c r="V203" s="4">
        <f t="shared" si="171"/>
        <v>1.6723501884948418E-2</v>
      </c>
      <c r="W203" t="str">
        <f t="shared" si="158"/>
        <v>1-0.00973033807970471i</v>
      </c>
      <c r="X203" s="4">
        <f t="shared" si="172"/>
        <v>1.0000473386191002</v>
      </c>
      <c r="Y203" s="4">
        <f t="shared" si="173"/>
        <v>-9.7300310093680446E-3</v>
      </c>
      <c r="Z203" t="str">
        <f t="shared" si="159"/>
        <v>0.999999498812766+0.00651336916355743i</v>
      </c>
      <c r="AA203" s="4">
        <f t="shared" si="174"/>
        <v>1.0000207105873578</v>
      </c>
      <c r="AB203" s="4">
        <f t="shared" si="175"/>
        <v>6.5132803225061335E-3</v>
      </c>
      <c r="AC203" s="47" t="str">
        <f t="shared" si="176"/>
        <v>9.09231873725296-9.78034232391142i</v>
      </c>
      <c r="AD203" s="20">
        <f t="shared" si="177"/>
        <v>22.512130996800103</v>
      </c>
      <c r="AE203" s="43">
        <f t="shared" si="178"/>
        <v>-47.087855944210652</v>
      </c>
      <c r="AF203" t="str">
        <f t="shared" si="160"/>
        <v>72.2956529813786</v>
      </c>
      <c r="AG203" t="str">
        <f t="shared" si="161"/>
        <v>1+0.878065708312552i</v>
      </c>
      <c r="AH203">
        <f t="shared" si="179"/>
        <v>1.3307890096158834</v>
      </c>
      <c r="AI203">
        <f t="shared" si="180"/>
        <v>0.72056369427036771</v>
      </c>
      <c r="AJ203" t="str">
        <f t="shared" si="162"/>
        <v>1+0.0167250611107153i</v>
      </c>
      <c r="AK203">
        <f t="shared" si="181"/>
        <v>1.0001398540550002</v>
      </c>
      <c r="AL203">
        <f t="shared" si="182"/>
        <v>1.6723501884948418E-2</v>
      </c>
      <c r="AM203" t="str">
        <f t="shared" si="163"/>
        <v>1-0.00215345356203795i</v>
      </c>
      <c r="AN203">
        <f t="shared" si="183"/>
        <v>1.0000023186784337</v>
      </c>
      <c r="AO203">
        <f t="shared" si="184"/>
        <v>-2.1534502332657981E-3</v>
      </c>
      <c r="AP203" s="41" t="str">
        <f t="shared" si="185"/>
        <v>41.3457327144441-35.2508061988898i</v>
      </c>
      <c r="AQ203">
        <f t="shared" si="186"/>
        <v>34.701294393655601</v>
      </c>
      <c r="AR203" s="43">
        <f t="shared" si="187"/>
        <v>-40.450456085118013</v>
      </c>
      <c r="AS203" t="str">
        <f t="shared" si="164"/>
        <v>-0.0000166666666666667</v>
      </c>
      <c r="AT203" t="str">
        <f t="shared" si="165"/>
        <v>0.0000151237254724553i</v>
      </c>
      <c r="AU203">
        <f t="shared" si="188"/>
        <v>1.51237254724553E-5</v>
      </c>
      <c r="AV203">
        <f t="shared" si="189"/>
        <v>1.5707963267948966</v>
      </c>
      <c r="AW203" t="str">
        <f t="shared" si="166"/>
        <v>1+0.0151106426649532i</v>
      </c>
      <c r="AX203">
        <f t="shared" si="190"/>
        <v>1.0001141592447074</v>
      </c>
      <c r="AY203">
        <f t="shared" si="191"/>
        <v>1.5109492743808944E-2</v>
      </c>
      <c r="AZ203" t="str">
        <f t="shared" si="167"/>
        <v>1+0.513761850608408i</v>
      </c>
      <c r="BA203">
        <f t="shared" si="192"/>
        <v>1.1242558601762216</v>
      </c>
      <c r="BB203">
        <f t="shared" si="193"/>
        <v>0.47459637942425459</v>
      </c>
      <c r="BC203" s="41" t="str">
        <f t="shared" si="194"/>
        <v>-0.549398776394628+1.11032300648086i</v>
      </c>
      <c r="BD203">
        <f t="shared" si="195"/>
        <v>1.860110966373216</v>
      </c>
      <c r="BE203" s="43">
        <f t="shared" si="196"/>
        <v>116.32665934839545</v>
      </c>
      <c r="BF203" s="41" t="str">
        <f t="shared" si="197"/>
        <v>5.8640303046606+15.4687187817065i</v>
      </c>
      <c r="BG203" s="20">
        <f t="shared" si="198"/>
        <v>24.372241963173327</v>
      </c>
      <c r="BH203" s="43">
        <f t="shared" si="199"/>
        <v>69.238803404184836</v>
      </c>
      <c r="BI203" s="41" t="str">
        <f t="shared" si="203"/>
        <v>16.4244861571705+65.2738680452498i</v>
      </c>
      <c r="BJ203" s="20">
        <f t="shared" si="200"/>
        <v>36.561405360028814</v>
      </c>
      <c r="BK203" s="43">
        <f t="shared" si="204"/>
        <v>75.876203263277461</v>
      </c>
      <c r="BL203">
        <f t="shared" si="201"/>
        <v>24.372241963173327</v>
      </c>
      <c r="BM203" s="43">
        <f t="shared" si="202"/>
        <v>69.238803404184836</v>
      </c>
    </row>
    <row r="204" spans="14:65" x14ac:dyDescent="0.25">
      <c r="N204" s="9">
        <v>86</v>
      </c>
      <c r="O204" s="34">
        <f t="shared" si="205"/>
        <v>724.43596007499025</v>
      </c>
      <c r="P204" s="33" t="str">
        <f t="shared" si="155"/>
        <v>19.6196196196196</v>
      </c>
      <c r="Q204" s="4" t="str">
        <f t="shared" si="156"/>
        <v>1+1.10178693237826i</v>
      </c>
      <c r="R204" s="4">
        <f t="shared" si="168"/>
        <v>1.4879295831320434</v>
      </c>
      <c r="S204" s="4">
        <f t="shared" si="169"/>
        <v>0.83378911466665995</v>
      </c>
      <c r="T204" s="4" t="str">
        <f t="shared" si="157"/>
        <v>1+0.0171146378300623i</v>
      </c>
      <c r="U204" s="4">
        <f t="shared" si="170"/>
        <v>1.0001464446910033</v>
      </c>
      <c r="V204" s="4">
        <f t="shared" si="171"/>
        <v>1.7112967102764057E-2</v>
      </c>
      <c r="W204" t="str">
        <f t="shared" si="158"/>
        <v>1-0.00995698676948439i</v>
      </c>
      <c r="X204" s="4">
        <f t="shared" si="172"/>
        <v>1.0000495695641929</v>
      </c>
      <c r="Y204" s="4">
        <f t="shared" si="173"/>
        <v>-9.9566577385714217E-3</v>
      </c>
      <c r="Z204" t="str">
        <f t="shared" si="159"/>
        <v>0.99999947519254+0.00666508502120587i</v>
      </c>
      <c r="AA204" s="4">
        <f t="shared" si="174"/>
        <v>1.0000216866366924</v>
      </c>
      <c r="AB204" s="4">
        <f t="shared" si="175"/>
        <v>6.6649898264157835E-3</v>
      </c>
      <c r="AC204" s="47" t="str">
        <f t="shared" si="176"/>
        <v>8.86822107127668-9.76124890725413i</v>
      </c>
      <c r="AD204" s="20">
        <f t="shared" si="177"/>
        <v>22.40367818061522</v>
      </c>
      <c r="AE204" s="43">
        <f t="shared" si="178"/>
        <v>-47.744446738442022</v>
      </c>
      <c r="AF204" t="str">
        <f t="shared" si="160"/>
        <v>72.2956529813786</v>
      </c>
      <c r="AG204" t="str">
        <f t="shared" si="161"/>
        <v>1+0.898518486078271i</v>
      </c>
      <c r="AH204">
        <f t="shared" si="179"/>
        <v>1.344371775151646</v>
      </c>
      <c r="AI204">
        <f t="shared" si="180"/>
        <v>0.73199598257476661</v>
      </c>
      <c r="AJ204" t="str">
        <f t="shared" si="162"/>
        <v>1+0.0171146378300623i</v>
      </c>
      <c r="AK204">
        <f t="shared" si="181"/>
        <v>1.0001464446910033</v>
      </c>
      <c r="AL204">
        <f t="shared" si="182"/>
        <v>1.7112967102764057E-2</v>
      </c>
      <c r="AM204" t="str">
        <f t="shared" si="163"/>
        <v>1-0.00220361393923546i</v>
      </c>
      <c r="AN204">
        <f t="shared" si="183"/>
        <v>1.0000024279542492</v>
      </c>
      <c r="AO204">
        <f t="shared" si="184"/>
        <v>-2.203610372392304E-3</v>
      </c>
      <c r="AP204" s="41" t="str">
        <f t="shared" si="185"/>
        <v>40.5386745734265-35.3467462965266i</v>
      </c>
      <c r="AQ204">
        <f t="shared" si="186"/>
        <v>34.613148972413335</v>
      </c>
      <c r="AR204" s="43">
        <f t="shared" si="187"/>
        <v>-41.08603720616059</v>
      </c>
      <c r="AS204" t="str">
        <f t="shared" si="164"/>
        <v>-0.0000166666666666667</v>
      </c>
      <c r="AT204" t="str">
        <f t="shared" si="165"/>
        <v>0.0000154760022931414i</v>
      </c>
      <c r="AU204">
        <f t="shared" si="188"/>
        <v>1.5476002293141401E-5</v>
      </c>
      <c r="AV204">
        <f t="shared" si="189"/>
        <v>1.5707963267948966</v>
      </c>
      <c r="AW204" t="str">
        <f t="shared" si="166"/>
        <v>1+0.0154626147479052i</v>
      </c>
      <c r="AX204">
        <f t="shared" si="190"/>
        <v>1.000119539082625</v>
      </c>
      <c r="AY204">
        <f t="shared" si="191"/>
        <v>1.5461382593153597E-2</v>
      </c>
      <c r="AZ204" t="str">
        <f t="shared" si="167"/>
        <v>1+0.525728901428775i</v>
      </c>
      <c r="BA204">
        <f t="shared" si="192"/>
        <v>1.1297747022293898</v>
      </c>
      <c r="BB204">
        <f t="shared" si="193"/>
        <v>0.48401823743417127</v>
      </c>
      <c r="BC204" s="41" t="str">
        <f t="shared" si="194"/>
        <v>-0.549392865764341+1.08543122217866i</v>
      </c>
      <c r="BD204">
        <f t="shared" si="195"/>
        <v>1.7025979599485919</v>
      </c>
      <c r="BE204" s="43">
        <f t="shared" si="196"/>
        <v>116.84633024431433</v>
      </c>
      <c r="BF204" s="41" t="str">
        <f t="shared" si="197"/>
        <v>5.72302694281055+14.9886045465418i</v>
      </c>
      <c r="BG204" s="20">
        <f t="shared" si="198"/>
        <v>24.106276140563821</v>
      </c>
      <c r="BH204" s="43">
        <f t="shared" si="199"/>
        <v>69.101883505872351</v>
      </c>
      <c r="BI204" s="41" t="str">
        <f t="shared" si="203"/>
        <v>16.0948034344951+63.4211933310311i</v>
      </c>
      <c r="BJ204" s="20">
        <f t="shared" si="200"/>
        <v>36.315746932361925</v>
      </c>
      <c r="BK204" s="43">
        <f t="shared" si="204"/>
        <v>75.760293038153733</v>
      </c>
      <c r="BL204">
        <f t="shared" si="201"/>
        <v>24.106276140563821</v>
      </c>
      <c r="BM204" s="43">
        <f t="shared" si="202"/>
        <v>69.101883505872351</v>
      </c>
    </row>
    <row r="205" spans="14:65" x14ac:dyDescent="0.25">
      <c r="N205" s="9">
        <v>87</v>
      </c>
      <c r="O205" s="34">
        <f t="shared" si="205"/>
        <v>741.31024130091828</v>
      </c>
      <c r="P205" s="33" t="str">
        <f t="shared" si="155"/>
        <v>19.6196196196196</v>
      </c>
      <c r="Q205" s="4" t="str">
        <f t="shared" si="156"/>
        <v>1+1.12745084688918i</v>
      </c>
      <c r="R205" s="4">
        <f t="shared" si="168"/>
        <v>1.5070319877663942</v>
      </c>
      <c r="S205" s="4">
        <f t="shared" si="169"/>
        <v>0.84523442393910098</v>
      </c>
      <c r="T205" s="4" t="str">
        <f t="shared" si="157"/>
        <v>1+0.0175132889569258i</v>
      </c>
      <c r="U205" s="4">
        <f t="shared" si="170"/>
        <v>1.0001533458875638</v>
      </c>
      <c r="V205" s="4">
        <f t="shared" si="171"/>
        <v>1.7511498755195989E-2</v>
      </c>
      <c r="W205" t="str">
        <f t="shared" si="158"/>
        <v>1-0.0101889147854456i</v>
      </c>
      <c r="X205" s="4">
        <f t="shared" si="172"/>
        <v>1.0000519056451544</v>
      </c>
      <c r="Y205" s="4">
        <f t="shared" si="173"/>
        <v>-1.0188562223458637E-2</v>
      </c>
      <c r="Z205" t="str">
        <f t="shared" si="159"/>
        <v>0.999999450459126+0.00682033479515539i</v>
      </c>
      <c r="AA205" s="4">
        <f t="shared" si="174"/>
        <v>1.0000227086847937</v>
      </c>
      <c r="AB205" s="4">
        <f t="shared" si="175"/>
        <v>6.8202327922251386E-3</v>
      </c>
      <c r="AC205" s="47" t="str">
        <f t="shared" si="176"/>
        <v>8.64511820603528-9.73708118668496i</v>
      </c>
      <c r="AD205" s="20">
        <f t="shared" si="177"/>
        <v>22.292947685974411</v>
      </c>
      <c r="AE205" s="43">
        <f t="shared" si="178"/>
        <v>-48.39956238826236</v>
      </c>
      <c r="AF205" t="str">
        <f t="shared" si="160"/>
        <v>72.2956529813786</v>
      </c>
      <c r="AG205" t="str">
        <f t="shared" si="161"/>
        <v>1+0.919447670238606i</v>
      </c>
      <c r="AH205">
        <f t="shared" si="179"/>
        <v>1.3584491224581068</v>
      </c>
      <c r="AI205">
        <f t="shared" si="180"/>
        <v>0.74345636322427233</v>
      </c>
      <c r="AJ205" t="str">
        <f t="shared" si="162"/>
        <v>1+0.0175132889569258i</v>
      </c>
      <c r="AK205">
        <f t="shared" si="181"/>
        <v>1.0001533458875638</v>
      </c>
      <c r="AL205">
        <f t="shared" si="182"/>
        <v>1.7511498755195989E-2</v>
      </c>
      <c r="AM205" t="str">
        <f t="shared" si="163"/>
        <v>1-0.00225494270171184i</v>
      </c>
      <c r="AN205">
        <f t="shared" si="183"/>
        <v>1.0000025423800623</v>
      </c>
      <c r="AO205">
        <f t="shared" si="184"/>
        <v>-2.2549388797710643E-3</v>
      </c>
      <c r="AP205" s="41" t="str">
        <f t="shared" si="185"/>
        <v>39.7276453957579-35.4243788972584i</v>
      </c>
      <c r="AQ205">
        <f t="shared" si="186"/>
        <v>34.522730068048155</v>
      </c>
      <c r="AR205" s="43">
        <f t="shared" si="187"/>
        <v>-41.722775374145456</v>
      </c>
      <c r="AS205" t="str">
        <f t="shared" si="164"/>
        <v>-0.0000166666666666667</v>
      </c>
      <c r="AT205" t="str">
        <f t="shared" si="165"/>
        <v>0.0000158364846950925i</v>
      </c>
      <c r="AU205">
        <f t="shared" si="188"/>
        <v>1.5836484695092499E-5</v>
      </c>
      <c r="AV205">
        <f t="shared" si="189"/>
        <v>1.5707963267948966</v>
      </c>
      <c r="AW205" t="str">
        <f t="shared" si="166"/>
        <v>1+0.0158227853138684i</v>
      </c>
      <c r="AX205">
        <f t="shared" si="190"/>
        <v>1.0001251724334754</v>
      </c>
      <c r="AY205">
        <f t="shared" si="191"/>
        <v>1.5821465045189369E-2</v>
      </c>
      <c r="AZ205" t="str">
        <f t="shared" si="167"/>
        <v>1+0.537974700671525i</v>
      </c>
      <c r="BA205">
        <f t="shared" si="192"/>
        <v>1.1355248912122609</v>
      </c>
      <c r="BB205">
        <f t="shared" si="193"/>
        <v>0.4935638812766821</v>
      </c>
      <c r="BC205" s="41" t="str">
        <f t="shared" si="194"/>
        <v>-0.549386676710936+1.0611149392632i</v>
      </c>
      <c r="BD205">
        <f t="shared" si="195"/>
        <v>1.5466452901952525</v>
      </c>
      <c r="BE205" s="43">
        <f t="shared" si="196"/>
        <v>117.37262414444682</v>
      </c>
      <c r="BF205" s="41" t="str">
        <f t="shared" si="197"/>
        <v>5.58264955102313+14.5228867541377i</v>
      </c>
      <c r="BG205" s="20">
        <f t="shared" si="198"/>
        <v>23.839592976169644</v>
      </c>
      <c r="BH205" s="43">
        <f t="shared" si="199"/>
        <v>68.973061756184407</v>
      </c>
      <c r="BI205" s="41" t="str">
        <f t="shared" si="203"/>
        <v>15.763498584475+61.6172798281034i</v>
      </c>
      <c r="BJ205" s="20">
        <f t="shared" si="200"/>
        <v>36.069375358243413</v>
      </c>
      <c r="BK205" s="43">
        <f t="shared" si="204"/>
        <v>75.649848770301361</v>
      </c>
      <c r="BL205">
        <f t="shared" si="201"/>
        <v>23.839592976169644</v>
      </c>
      <c r="BM205" s="43">
        <f t="shared" si="202"/>
        <v>68.973061756184407</v>
      </c>
    </row>
    <row r="206" spans="14:65" x14ac:dyDescent="0.25">
      <c r="N206" s="9">
        <v>88</v>
      </c>
      <c r="O206" s="34">
        <f t="shared" si="205"/>
        <v>758.57757502918378</v>
      </c>
      <c r="P206" s="33" t="str">
        <f t="shared" si="155"/>
        <v>19.6196196196196</v>
      </c>
      <c r="Q206" s="4" t="str">
        <f t="shared" si="156"/>
        <v>1+1.1537125507627i</v>
      </c>
      <c r="R206" s="4">
        <f t="shared" si="168"/>
        <v>1.5267785202141715</v>
      </c>
      <c r="S206" s="4">
        <f t="shared" si="169"/>
        <v>0.85664831748687142</v>
      </c>
      <c r="T206" s="4" t="str">
        <f t="shared" si="157"/>
        <v>1+0.0179212258614101i</v>
      </c>
      <c r="U206" s="4">
        <f t="shared" si="170"/>
        <v>1.0001605722764599</v>
      </c>
      <c r="V206" s="4">
        <f t="shared" si="171"/>
        <v>1.7919307642328849E-2</v>
      </c>
      <c r="W206" t="str">
        <f t="shared" si="158"/>
        <v>1-0.0104262450988922i</v>
      </c>
      <c r="X206" s="4">
        <f t="shared" si="172"/>
        <v>1.0000543518163711</v>
      </c>
      <c r="Y206" s="4">
        <f t="shared" si="173"/>
        <v>-1.0425867323025766E-2</v>
      </c>
      <c r="Z206" t="str">
        <f t="shared" si="159"/>
        <v>0.999999424560063+0.0069792008008911i</v>
      </c>
      <c r="AA206" s="4">
        <f t="shared" si="174"/>
        <v>1.00002377889942</v>
      </c>
      <c r="AB206" s="4">
        <f t="shared" si="175"/>
        <v>6.9790915029224855E-3</v>
      </c>
      <c r="AC206" s="47" t="str">
        <f t="shared" si="176"/>
        <v>8.42323832564611-9.70790251772805i</v>
      </c>
      <c r="AD206" s="20">
        <f t="shared" si="177"/>
        <v>22.179950979083934</v>
      </c>
      <c r="AE206" s="43">
        <f t="shared" si="178"/>
        <v>-49.052863102604455</v>
      </c>
      <c r="AF206" t="str">
        <f t="shared" si="160"/>
        <v>72.2956529813786</v>
      </c>
      <c r="AG206" t="str">
        <f t="shared" si="161"/>
        <v>1+0.940864357724031i</v>
      </c>
      <c r="AH206">
        <f t="shared" si="179"/>
        <v>1.3730352288399061</v>
      </c>
      <c r="AI206">
        <f t="shared" si="180"/>
        <v>0.75493887197467613</v>
      </c>
      <c r="AJ206" t="str">
        <f t="shared" si="162"/>
        <v>1+0.0179212258614101i</v>
      </c>
      <c r="AK206">
        <f t="shared" si="181"/>
        <v>1.0001605722764599</v>
      </c>
      <c r="AL206">
        <f t="shared" si="182"/>
        <v>1.7919307642328849E-2</v>
      </c>
      <c r="AM206" t="str">
        <f t="shared" si="163"/>
        <v>1-0.00230746706465635i</v>
      </c>
      <c r="AN206">
        <f t="shared" si="183"/>
        <v>1.0000026621985836</v>
      </c>
      <c r="AO206">
        <f t="shared" si="184"/>
        <v>-2.3074629693736141E-3</v>
      </c>
      <c r="AP206" s="41" t="str">
        <f t="shared" si="185"/>
        <v>38.9134814056578-35.4835008018352i</v>
      </c>
      <c r="AQ206">
        <f t="shared" si="186"/>
        <v>34.4300278109841</v>
      </c>
      <c r="AR206" s="43">
        <f t="shared" si="187"/>
        <v>-42.360318344341998</v>
      </c>
      <c r="AS206" t="str">
        <f t="shared" si="164"/>
        <v>-0.0000166666666666667</v>
      </c>
      <c r="AT206" t="str">
        <f t="shared" si="165"/>
        <v>0.0000162053638108496i</v>
      </c>
      <c r="AU206">
        <f t="shared" si="188"/>
        <v>1.6205363810849602E-5</v>
      </c>
      <c r="AV206">
        <f t="shared" si="189"/>
        <v>1.5707963267948966</v>
      </c>
      <c r="AW206" t="str">
        <f t="shared" si="166"/>
        <v>1+0.0161913453300444i</v>
      </c>
      <c r="AX206">
        <f t="shared" si="190"/>
        <v>1.0001310712419631</v>
      </c>
      <c r="AY206">
        <f t="shared" si="191"/>
        <v>1.618993064667985E-2</v>
      </c>
      <c r="AZ206" t="str">
        <f t="shared" si="167"/>
        <v>1+0.550505741221508i</v>
      </c>
      <c r="BA206">
        <f t="shared" si="192"/>
        <v>1.1415150332421566</v>
      </c>
      <c r="BB206">
        <f t="shared" si="193"/>
        <v>0.50323141301209484</v>
      </c>
      <c r="BC206" s="41" t="str">
        <f t="shared" si="194"/>
        <v>-0.549380196125885+1.03736126430361i</v>
      </c>
      <c r="BD206">
        <f t="shared" si="195"/>
        <v>1.3922935951390345</v>
      </c>
      <c r="BE206" s="43">
        <f t="shared" si="196"/>
        <v>117.90542138733363</v>
      </c>
      <c r="BF206" s="41" t="str">
        <f t="shared" si="197"/>
        <v>5.44304170616804+14.0712705481833i</v>
      </c>
      <c r="BG206" s="20">
        <f t="shared" si="198"/>
        <v>23.572244574222978</v>
      </c>
      <c r="BH206" s="43">
        <f t="shared" si="199"/>
        <v>68.852558284729199</v>
      </c>
      <c r="BI206" s="41" t="str">
        <f t="shared" si="203"/>
        <v>15.4309132071287+59.8612708991734i</v>
      </c>
      <c r="BJ206" s="20">
        <f t="shared" si="200"/>
        <v>35.82232140612313</v>
      </c>
      <c r="BK206" s="43">
        <f t="shared" si="204"/>
        <v>75.545103042991613</v>
      </c>
      <c r="BL206">
        <f t="shared" si="201"/>
        <v>23.572244574222978</v>
      </c>
      <c r="BM206" s="43">
        <f t="shared" si="202"/>
        <v>68.852558284729199</v>
      </c>
    </row>
    <row r="207" spans="14:65" x14ac:dyDescent="0.25">
      <c r="N207" s="9">
        <v>89</v>
      </c>
      <c r="O207" s="34">
        <f t="shared" si="205"/>
        <v>776.24711662869231</v>
      </c>
      <c r="P207" s="33" t="str">
        <f t="shared" si="155"/>
        <v>19.6196196196196</v>
      </c>
      <c r="Q207" s="4" t="str">
        <f t="shared" si="156"/>
        <v>1+1.18058596830183i</v>
      </c>
      <c r="R207" s="4">
        <f t="shared" si="168"/>
        <v>1.5471855830995742</v>
      </c>
      <c r="S207" s="4">
        <f t="shared" si="169"/>
        <v>0.86802495228401622</v>
      </c>
      <c r="T207" s="4" t="str">
        <f t="shared" si="157"/>
        <v>1+0.0183386648370616i</v>
      </c>
      <c r="U207" s="4">
        <f t="shared" si="170"/>
        <v>1.0001681391786112</v>
      </c>
      <c r="V207" s="4">
        <f t="shared" si="171"/>
        <v>1.833660944694596E-2</v>
      </c>
      <c r="W207" t="str">
        <f t="shared" si="158"/>
        <v>1-0.010669103545498i</v>
      </c>
      <c r="X207" s="4">
        <f t="shared" si="172"/>
        <v>1.0000569132656725</v>
      </c>
      <c r="Y207" s="4">
        <f t="shared" si="173"/>
        <v>-1.0668698752608247E-2</v>
      </c>
      <c r="Z207" t="str">
        <f t="shared" si="159"/>
        <v>0.999999397440414+0.00714176727127209i</v>
      </c>
      <c r="AA207" s="4">
        <f t="shared" si="174"/>
        <v>1.0000248995504801</v>
      </c>
      <c r="AB207" s="4">
        <f t="shared" si="175"/>
        <v>7.141650156546166E-3</v>
      </c>
      <c r="AC207" s="47" t="str">
        <f t="shared" si="176"/>
        <v>8.20280454317125-9.67378884666259i</v>
      </c>
      <c r="AD207" s="20">
        <f t="shared" si="177"/>
        <v>22.064701835645323</v>
      </c>
      <c r="AE207" s="43">
        <f t="shared" si="178"/>
        <v>-49.704013770179074</v>
      </c>
      <c r="AF207" t="str">
        <f t="shared" si="160"/>
        <v>72.2956529813786</v>
      </c>
      <c r="AG207" t="str">
        <f t="shared" si="161"/>
        <v>1+0.962779903945734i</v>
      </c>
      <c r="AH207">
        <f t="shared" si="179"/>
        <v>1.3881444966003202</v>
      </c>
      <c r="AI207">
        <f t="shared" si="180"/>
        <v>0.76643748646460574</v>
      </c>
      <c r="AJ207" t="str">
        <f t="shared" si="162"/>
        <v>1+0.0183386648370616i</v>
      </c>
      <c r="AK207">
        <f t="shared" si="181"/>
        <v>1.0001681391786112</v>
      </c>
      <c r="AL207">
        <f t="shared" si="182"/>
        <v>1.833660944694596E-2</v>
      </c>
      <c r="AM207" t="str">
        <f t="shared" si="163"/>
        <v>1-0.00236121487718149i</v>
      </c>
      <c r="AN207">
        <f t="shared" si="183"/>
        <v>1.0000027876639626</v>
      </c>
      <c r="AO207">
        <f t="shared" si="184"/>
        <v>-2.3612104890076389E-3</v>
      </c>
      <c r="AP207" s="41" t="str">
        <f t="shared" si="185"/>
        <v>38.0970319688359-35.5239566017466i</v>
      </c>
      <c r="AQ207">
        <f t="shared" si="186"/>
        <v>34.335034709514808</v>
      </c>
      <c r="AR207" s="43">
        <f t="shared" si="187"/>
        <v>-42.998310298709548</v>
      </c>
      <c r="AS207" t="str">
        <f t="shared" si="164"/>
        <v>-0.0000166666666666667</v>
      </c>
      <c r="AT207" t="str">
        <f t="shared" si="165"/>
        <v>0.0000165828352250025i</v>
      </c>
      <c r="AU207">
        <f t="shared" si="188"/>
        <v>1.65828352250025E-5</v>
      </c>
      <c r="AV207">
        <f t="shared" si="189"/>
        <v>1.5707963267948966</v>
      </c>
      <c r="AW207" t="str">
        <f t="shared" si="166"/>
        <v>1+0.0165684902118321i</v>
      </c>
      <c r="AX207">
        <f t="shared" si="190"/>
        <v>1.0001372480154409</v>
      </c>
      <c r="AY207">
        <f t="shared" si="191"/>
        <v>1.6566974362530903E-2</v>
      </c>
      <c r="AZ207" t="str">
        <f t="shared" si="167"/>
        <v>1+0.563328667202292i</v>
      </c>
      <c r="BA207">
        <f t="shared" si="192"/>
        <v>1.147753975071274</v>
      </c>
      <c r="BB207">
        <f t="shared" si="193"/>
        <v>0.51301872940959325</v>
      </c>
      <c r="BC207" s="41" t="str">
        <f t="shared" si="194"/>
        <v>-0.549373410284138+1.01415760212721i</v>
      </c>
      <c r="BD207">
        <f t="shared" si="195"/>
        <v>1.2395833560757659</v>
      </c>
      <c r="BE207" s="43">
        <f t="shared" si="196"/>
        <v>118.4445902960593</v>
      </c>
      <c r="BF207" s="41" t="str">
        <f t="shared" si="197"/>
        <v>5.30434379444007+13.6334589552804i</v>
      </c>
      <c r="BG207" s="20">
        <f t="shared" si="198"/>
        <v>23.304285191721075</v>
      </c>
      <c r="BH207" s="43">
        <f t="shared" si="199"/>
        <v>68.740576525880201</v>
      </c>
      <c r="BI207" s="41" t="str">
        <f t="shared" si="203"/>
        <v>15.0973942708752+58.1523117747655i</v>
      </c>
      <c r="BJ207" s="20">
        <f t="shared" si="200"/>
        <v>35.57461806559057</v>
      </c>
      <c r="BK207" s="43">
        <f t="shared" si="204"/>
        <v>75.446279997349762</v>
      </c>
      <c r="BL207">
        <f t="shared" si="201"/>
        <v>23.304285191721075</v>
      </c>
      <c r="BM207" s="43">
        <f t="shared" si="202"/>
        <v>68.740576525880201</v>
      </c>
    </row>
    <row r="208" spans="14:65" x14ac:dyDescent="0.25">
      <c r="N208" s="9">
        <v>90</v>
      </c>
      <c r="O208" s="34">
        <f t="shared" si="205"/>
        <v>794.32823472428208</v>
      </c>
      <c r="P208" s="33" t="str">
        <f t="shared" si="155"/>
        <v>19.6196196196196</v>
      </c>
      <c r="Q208" s="4" t="str">
        <f t="shared" si="156"/>
        <v>1+1.20808534814825i</v>
      </c>
      <c r="R208" s="4">
        <f t="shared" si="168"/>
        <v>1.5682698136514897</v>
      </c>
      <c r="S208" s="4">
        <f t="shared" si="169"/>
        <v>0.87935858160567104</v>
      </c>
      <c r="T208" s="4" t="str">
        <f t="shared" si="157"/>
        <v>1+0.0187658272155506i</v>
      </c>
      <c r="U208" s="4">
        <f t="shared" si="170"/>
        <v>1.0001760626365159</v>
      </c>
      <c r="V208" s="4">
        <f t="shared" si="171"/>
        <v>1.8763624846300082E-2</v>
      </c>
      <c r="W208" t="str">
        <f t="shared" si="158"/>
        <v>1-0.0109176188920258i</v>
      </c>
      <c r="X208" s="4">
        <f t="shared" si="172"/>
        <v>1.0000595954253284</v>
      </c>
      <c r="Y208" s="4">
        <f t="shared" si="173"/>
        <v>-1.0917185150025793E-2</v>
      </c>
      <c r="Z208" t="str">
        <f t="shared" si="159"/>
        <v>0.999999369042656+0.00730812040119278i</v>
      </c>
      <c r="AA208" s="4">
        <f t="shared" si="174"/>
        <v>1.0000260730148531</v>
      </c>
      <c r="AB208" s="4">
        <f t="shared" si="175"/>
        <v>7.3079949106797035E-3</v>
      </c>
      <c r="AC208" s="47" t="str">
        <f t="shared" si="176"/>
        <v>7.98403402981024-9.6348282350351i</v>
      </c>
      <c r="AD208" s="20">
        <f t="shared" si="177"/>
        <v>21.947216284985171</v>
      </c>
      <c r="AE208" s="43">
        <f t="shared" si="178"/>
        <v>-50.352684790899936</v>
      </c>
      <c r="AF208" t="str">
        <f t="shared" si="160"/>
        <v>72.2956529813786</v>
      </c>
      <c r="AG208" t="str">
        <f t="shared" si="161"/>
        <v>1+0.985205928816408i</v>
      </c>
      <c r="AH208">
        <f t="shared" si="179"/>
        <v>1.4037915522523283</v>
      </c>
      <c r="AI208">
        <f t="shared" si="180"/>
        <v>0.77794614186324096</v>
      </c>
      <c r="AJ208" t="str">
        <f t="shared" si="162"/>
        <v>1+0.0187658272155506i</v>
      </c>
      <c r="AK208">
        <f t="shared" si="181"/>
        <v>1.0001760626365159</v>
      </c>
      <c r="AL208">
        <f t="shared" si="182"/>
        <v>1.8763624846300082E-2</v>
      </c>
      <c r="AM208" t="str">
        <f t="shared" si="163"/>
        <v>1-0.00241621463708888i</v>
      </c>
      <c r="AN208">
        <f t="shared" si="183"/>
        <v>1.0000029190423259</v>
      </c>
      <c r="AO208">
        <f t="shared" si="184"/>
        <v>-2.4162099350766254E-3</v>
      </c>
      <c r="AP208" s="41" t="str">
        <f t="shared" si="185"/>
        <v>37.2791560798995-35.5456396738368i</v>
      </c>
      <c r="AQ208">
        <f t="shared" si="186"/>
        <v>34.237745682142197</v>
      </c>
      <c r="AR208" s="43">
        <f t="shared" si="187"/>
        <v>-43.636392736886997</v>
      </c>
      <c r="AS208" t="str">
        <f t="shared" si="164"/>
        <v>-0.0000166666666666667</v>
      </c>
      <c r="AT208" t="str">
        <f t="shared" si="165"/>
        <v>0.0000169690990778915i</v>
      </c>
      <c r="AU208">
        <f t="shared" si="188"/>
        <v>1.69690990778915E-5</v>
      </c>
      <c r="AV208">
        <f t="shared" si="189"/>
        <v>1.5707963267948966</v>
      </c>
      <c r="AW208" t="str">
        <f t="shared" si="166"/>
        <v>1+0.0169544199264401i</v>
      </c>
      <c r="AX208">
        <f t="shared" si="190"/>
        <v>1.0001437158503981</v>
      </c>
      <c r="AY208">
        <f t="shared" si="191"/>
        <v>1.6952795677255373E-2</v>
      </c>
      <c r="AZ208" t="str">
        <f t="shared" si="167"/>
        <v>1+0.576450277498962i</v>
      </c>
      <c r="BA208">
        <f t="shared" si="192"/>
        <v>1.1542508056868015</v>
      </c>
      <c r="BB208">
        <f t="shared" si="193"/>
        <v>0.52292351878002197</v>
      </c>
      <c r="BC208" s="41" t="str">
        <f t="shared" si="194"/>
        <v>-0.549366304815189+0.991491649138225i</v>
      </c>
      <c r="BD208">
        <f t="shared" si="195"/>
        <v>1.0885548013608</v>
      </c>
      <c r="BE208" s="43">
        <f t="shared" si="196"/>
        <v>118.98998699097095</v>
      </c>
      <c r="BF208" s="41" t="str">
        <f t="shared" si="197"/>
        <v>5.16669246344291+13.2091530520025i</v>
      </c>
      <c r="BG208" s="20">
        <f t="shared" si="198"/>
        <v>23.035771086345949</v>
      </c>
      <c r="BH208" s="43">
        <f t="shared" si="199"/>
        <v>68.637302200070948</v>
      </c>
      <c r="BI208" s="41" t="str">
        <f t="shared" si="203"/>
        <v>14.7632926776425+56.4895486600487i</v>
      </c>
      <c r="BJ208" s="20">
        <f t="shared" si="200"/>
        <v>35.326300483502997</v>
      </c>
      <c r="BK208" s="43">
        <f t="shared" si="204"/>
        <v>75.35359425408393</v>
      </c>
      <c r="BL208">
        <f t="shared" si="201"/>
        <v>23.035771086345949</v>
      </c>
      <c r="BM208" s="43">
        <f t="shared" si="202"/>
        <v>68.637302200070948</v>
      </c>
    </row>
    <row r="209" spans="14:65" x14ac:dyDescent="0.25">
      <c r="N209" s="9">
        <v>91</v>
      </c>
      <c r="O209" s="34">
        <f t="shared" si="205"/>
        <v>812.83051616409978</v>
      </c>
      <c r="P209" s="33" t="str">
        <f t="shared" si="155"/>
        <v>19.6196196196196</v>
      </c>
      <c r="Q209" s="4" t="str">
        <f t="shared" si="156"/>
        <v>1+1.23622527083716i</v>
      </c>
      <c r="R209" s="4">
        <f t="shared" si="168"/>
        <v>1.5900480874037772</v>
      </c>
      <c r="S209" s="4">
        <f t="shared" si="169"/>
        <v>0.89064356894055952</v>
      </c>
      <c r="T209" s="4" t="str">
        <f t="shared" si="157"/>
        <v>1+0.0192029394840244i</v>
      </c>
      <c r="U209" s="4">
        <f t="shared" si="170"/>
        <v>1.0001843594482105</v>
      </c>
      <c r="V209" s="4">
        <f t="shared" si="171"/>
        <v>1.9200579626347698E-2</v>
      </c>
      <c r="W209" t="str">
        <f t="shared" si="158"/>
        <v>1-0.011171922904602i</v>
      </c>
      <c r="X209" s="4">
        <f t="shared" si="172"/>
        <v>1.0000624039835646</v>
      </c>
      <c r="Y209" s="4">
        <f t="shared" si="173"/>
        <v>-1.1171458143241813E-2</v>
      </c>
      <c r="Z209" t="str">
        <f t="shared" si="159"/>
        <v>0.999999339306552+0.00747834839328458i</v>
      </c>
      <c r="AA209" s="4">
        <f t="shared" si="174"/>
        <v>1.0000273017814223</v>
      </c>
      <c r="AB209" s="4">
        <f t="shared" si="175"/>
        <v>7.4782139279754361E-3</v>
      </c>
      <c r="AC209" s="47" t="str">
        <f t="shared" si="176"/>
        <v>7.76713719533111-9.59112031466516i</v>
      </c>
      <c r="AD209" s="20">
        <f t="shared" si="177"/>
        <v>21.827512545573864</v>
      </c>
      <c r="AE209" s="43">
        <f t="shared" si="178"/>
        <v>-50.998552872952217</v>
      </c>
      <c r="AF209" t="str">
        <f t="shared" si="160"/>
        <v>72.2956529813786</v>
      </c>
      <c r="AG209" t="str">
        <f t="shared" si="161"/>
        <v>1+1.00815432291128i</v>
      </c>
      <c r="AH209">
        <f t="shared" si="179"/>
        <v>1.4199912460310102</v>
      </c>
      <c r="AI209">
        <f t="shared" si="180"/>
        <v>0.78945874679042838</v>
      </c>
      <c r="AJ209" t="str">
        <f t="shared" si="162"/>
        <v>1+0.0192029394840244i</v>
      </c>
      <c r="AK209">
        <f t="shared" si="181"/>
        <v>1.0001843594482105</v>
      </c>
      <c r="AL209">
        <f t="shared" si="182"/>
        <v>1.9200579626347698E-2</v>
      </c>
      <c r="AM209" t="str">
        <f t="shared" si="163"/>
        <v>1-0.00247249550597923i</v>
      </c>
      <c r="AN209">
        <f t="shared" si="183"/>
        <v>1.0000030566123421</v>
      </c>
      <c r="AO209">
        <f t="shared" si="184"/>
        <v>-2.4724904676831573E-3</v>
      </c>
      <c r="AP209" s="41" t="str">
        <f t="shared" si="185"/>
        <v>36.4607187638286-35.5484928661451i</v>
      </c>
      <c r="AQ209">
        <f t="shared" si="186"/>
        <v>34.138158079918789</v>
      </c>
      <c r="AR209" s="43">
        <f t="shared" si="187"/>
        <v>-44.274205382668661</v>
      </c>
      <c r="AS209" t="str">
        <f t="shared" si="164"/>
        <v>-0.0000166666666666667</v>
      </c>
      <c r="AT209" t="str">
        <f t="shared" si="165"/>
        <v>0.0000173643601717242i</v>
      </c>
      <c r="AU209">
        <f t="shared" si="188"/>
        <v>1.73643601717242E-5</v>
      </c>
      <c r="AV209">
        <f t="shared" si="189"/>
        <v>1.5707963267948966</v>
      </c>
      <c r="AW209" t="str">
        <f t="shared" si="166"/>
        <v>1+0.0173493390989113i</v>
      </c>
      <c r="AX209">
        <f t="shared" si="190"/>
        <v>1.0001504884601962</v>
      </c>
      <c r="AY209">
        <f t="shared" si="191"/>
        <v>1.7347598698696502E-2</v>
      </c>
      <c r="AZ209" t="str">
        <f t="shared" si="167"/>
        <v>1+0.589877529362984i</v>
      </c>
      <c r="BA209">
        <f t="shared" si="192"/>
        <v>1.161014857634207</v>
      </c>
      <c r="BB209">
        <f t="shared" si="193"/>
        <v>0.5329432584592102</v>
      </c>
      <c r="BC209" s="41" t="str">
        <f t="shared" si="194"/>
        <v>-0.549358864672801+0.969351386790892i</v>
      </c>
      <c r="BD209">
        <f t="shared" si="195"/>
        <v>0.93924780626958648</v>
      </c>
      <c r="BE209" s="43">
        <f t="shared" si="196"/>
        <v>119.54145523954057</v>
      </c>
      <c r="BF209" s="41" t="str">
        <f t="shared" si="197"/>
        <v>5.03022010651399+12.798052178694i</v>
      </c>
      <c r="BG209" s="20">
        <f t="shared" si="198"/>
        <v>22.766760351843441</v>
      </c>
      <c r="BH209" s="43">
        <f t="shared" si="199"/>
        <v>68.542902366588308</v>
      </c>
      <c r="BI209" s="41" t="str">
        <f t="shared" si="203"/>
        <v>14.4289617928727+54.8721279788846i</v>
      </c>
      <c r="BJ209" s="20">
        <f t="shared" si="200"/>
        <v>35.07740588618838</v>
      </c>
      <c r="BK209" s="43">
        <f t="shared" si="204"/>
        <v>75.267249856871942</v>
      </c>
      <c r="BL209">
        <f t="shared" si="201"/>
        <v>22.766760351843441</v>
      </c>
      <c r="BM209" s="43">
        <f t="shared" si="202"/>
        <v>68.542902366588308</v>
      </c>
    </row>
    <row r="210" spans="14:65" x14ac:dyDescent="0.25">
      <c r="N210" s="9">
        <v>92</v>
      </c>
      <c r="O210" s="34">
        <f t="shared" si="205"/>
        <v>831.7637711026714</v>
      </c>
      <c r="P210" s="33" t="str">
        <f t="shared" si="155"/>
        <v>19.6196196196196</v>
      </c>
      <c r="Q210" s="4" t="str">
        <f t="shared" si="156"/>
        <v>1+1.26502065652804i</v>
      </c>
      <c r="R210" s="4">
        <f t="shared" si="168"/>
        <v>1.6125375224913785</v>
      </c>
      <c r="S210" s="4">
        <f t="shared" si="169"/>
        <v>0.90187440122563256</v>
      </c>
      <c r="T210" s="4" t="str">
        <f t="shared" si="157"/>
        <v>1+0.0196502334051936i</v>
      </c>
      <c r="U210" s="4">
        <f t="shared" si="170"/>
        <v>1.000193047202828</v>
      </c>
      <c r="V210" s="4">
        <f t="shared" si="171"/>
        <v>1.9647704798493766E-2</v>
      </c>
      <c r="W210" t="str">
        <f t="shared" si="158"/>
        <v>1-0.01143215041858i</v>
      </c>
      <c r="X210" s="4">
        <f t="shared" si="172"/>
        <v>1.0000653448966188</v>
      </c>
      <c r="Y210" s="4">
        <f t="shared" si="173"/>
        <v>-1.1431652419567647E-2</v>
      </c>
      <c r="Z210" t="str">
        <f t="shared" si="159"/>
        <v>0.999999308169029+0.00765254150468215i</v>
      </c>
      <c r="AA210" s="4">
        <f t="shared" si="174"/>
        <v>1.0000285884563589</v>
      </c>
      <c r="AB210" s="4">
        <f t="shared" si="175"/>
        <v>7.6523974227299448E-3</v>
      </c>
      <c r="AC210" s="47" t="str">
        <f t="shared" si="176"/>
        <v>7.55231692595325-9.54277567933017i</v>
      </c>
      <c r="AD210" s="20">
        <f t="shared" si="177"/>
        <v>21.705610952489568</v>
      </c>
      <c r="AE210" s="43">
        <f t="shared" si="178"/>
        <v>-51.641301791025242</v>
      </c>
      <c r="AF210" t="str">
        <f t="shared" si="160"/>
        <v>72.2956529813786</v>
      </c>
      <c r="AG210" t="str">
        <f t="shared" si="161"/>
        <v>1+1.03163725377266i</v>
      </c>
      <c r="AH210">
        <f t="shared" si="179"/>
        <v>1.436758651747605</v>
      </c>
      <c r="AI210">
        <f t="shared" si="180"/>
        <v>0.80096919940776956</v>
      </c>
      <c r="AJ210" t="str">
        <f t="shared" si="162"/>
        <v>1+0.0196502334051936i</v>
      </c>
      <c r="AK210">
        <f t="shared" si="181"/>
        <v>1.000193047202828</v>
      </c>
      <c r="AL210">
        <f t="shared" si="182"/>
        <v>1.9647704798493766E-2</v>
      </c>
      <c r="AM210" t="str">
        <f t="shared" si="163"/>
        <v>1-0.00253008732471421i</v>
      </c>
      <c r="AN210">
        <f t="shared" si="183"/>
        <v>1.0000032006658131</v>
      </c>
      <c r="AO210">
        <f t="shared" si="184"/>
        <v>-2.5300819260836356E-3</v>
      </c>
      <c r="AP210" s="41" t="str">
        <f t="shared" si="185"/>
        <v>35.6425874233827-35.5325088667857i</v>
      </c>
      <c r="AQ210">
        <f t="shared" si="186"/>
        <v>34.036271698596572</v>
      </c>
      <c r="AR210" s="43">
        <f t="shared" si="187"/>
        <v>-44.911387100151977</v>
      </c>
      <c r="AS210" t="str">
        <f t="shared" si="164"/>
        <v>-0.0000166666666666667</v>
      </c>
      <c r="AT210" t="str">
        <f t="shared" si="165"/>
        <v>0.0000177688280791644i</v>
      </c>
      <c r="AU210">
        <f t="shared" si="188"/>
        <v>1.7768828079164399E-5</v>
      </c>
      <c r="AV210">
        <f t="shared" si="189"/>
        <v>1.5707963267948966</v>
      </c>
      <c r="AW210" t="str">
        <f t="shared" si="166"/>
        <v>1+0.0177534571206184i</v>
      </c>
      <c r="AX210">
        <f t="shared" si="190"/>
        <v>1.0001575802041065</v>
      </c>
      <c r="AY210">
        <f t="shared" si="191"/>
        <v>1.775159226405797E-2</v>
      </c>
      <c r="AZ210" t="str">
        <f t="shared" si="167"/>
        <v>1+0.603617542101026i</v>
      </c>
      <c r="BA210">
        <f t="shared" si="192"/>
        <v>1.1680557080602294</v>
      </c>
      <c r="BB210">
        <f t="shared" si="193"/>
        <v>0.54307521299474359</v>
      </c>
      <c r="BC210" s="41" t="str">
        <f t="shared" si="194"/>
        <v>-0.5493510741033+0.947725075213477i</v>
      </c>
      <c r="BD210">
        <f t="shared" si="195"/>
        <v>0.79170178927572388</v>
      </c>
      <c r="BE210" s="43">
        <f t="shared" si="196"/>
        <v>120.09882634639945</v>
      </c>
      <c r="BF210" s="41" t="str">
        <f t="shared" si="197"/>
        <v>4.89505438319757+12.3998541960519i</v>
      </c>
      <c r="BG210" s="20">
        <f t="shared" si="198"/>
        <v>22.497312741765271</v>
      </c>
      <c r="BH210" s="43">
        <f t="shared" si="199"/>
        <v>68.457524555374178</v>
      </c>
      <c r="BI210" s="41" t="str">
        <f t="shared" si="203"/>
        <v>14.094755953442+53.2991957581821i</v>
      </c>
      <c r="BJ210" s="20">
        <f t="shared" si="200"/>
        <v>34.827973487872306</v>
      </c>
      <c r="BK210" s="43">
        <f t="shared" si="204"/>
        <v>75.18743924624745</v>
      </c>
      <c r="BL210">
        <f t="shared" si="201"/>
        <v>22.497312741765271</v>
      </c>
      <c r="BM210" s="43">
        <f t="shared" si="202"/>
        <v>68.457524555374178</v>
      </c>
    </row>
    <row r="211" spans="14:65" x14ac:dyDescent="0.25">
      <c r="N211" s="9">
        <v>93</v>
      </c>
      <c r="O211" s="34">
        <f t="shared" si="205"/>
        <v>851.13803820237763</v>
      </c>
      <c r="P211" s="33" t="str">
        <f t="shared" ref="P211:P274" si="206">COMPLEX(Adc,0)</f>
        <v>19.6196196196196</v>
      </c>
      <c r="Q211" s="4" t="str">
        <f t="shared" ref="Q211:Q274" si="207">IMSUM(COMPLEX(1,0),IMDIV(COMPLEX(0,2*PI()*O211),COMPLEX(wp_lf,0)))</f>
        <v>1+1.29448677291554i</v>
      </c>
      <c r="R211" s="4">
        <f t="shared" si="168"/>
        <v>1.6357554845554665</v>
      </c>
      <c r="S211" s="4">
        <f t="shared" si="169"/>
        <v>0.91304570133246676</v>
      </c>
      <c r="T211" s="4" t="str">
        <f t="shared" ref="T211:T274" si="208">IMSUM(COMPLEX(1,0),IMDIV(COMPLEX(0,2*PI()*O211),COMPLEX(wz_esr,0)))</f>
        <v>1+0.0201079461402158i</v>
      </c>
      <c r="U211" s="4">
        <f t="shared" si="170"/>
        <v>1.0002021443178264</v>
      </c>
      <c r="V211" s="4">
        <f t="shared" si="171"/>
        <v>2.0105236718895397E-2</v>
      </c>
      <c r="W211" t="str">
        <f t="shared" ref="W211:W274" si="209">IMSUB(COMPLEX(1,0),IMDIV(COMPLEX(0,2*PI()*O211),COMPLEX(wz_rhp,0)))</f>
        <v>1-0.0116984394100325i</v>
      </c>
      <c r="X211" s="4">
        <f t="shared" si="172"/>
        <v>1.0000684244013658</v>
      </c>
      <c r="Y211" s="4">
        <f t="shared" si="173"/>
        <v>-1.169790579644861E-2</v>
      </c>
      <c r="Z211" t="str">
        <f t="shared" ref="Z211:Z274" si="210">IMSUM(COMPLEX(1,0),IMDIV(COMPLEX(0,2*PI()*O211),COMPLEX(Q*(wsl/2),0)),IMDIV(IMPOWER(COMPLEX(0,2*PI()*O211),2),IMPOWER(COMPLEX(wsl/2,0),2)))</f>
        <v>0.99999927556404+0.00783079209487887i</v>
      </c>
      <c r="AA211" s="4">
        <f t="shared" si="174"/>
        <v>1.0000299357686437</v>
      </c>
      <c r="AB211" s="4">
        <f t="shared" si="175"/>
        <v>7.8306377085351122E-3</v>
      </c>
      <c r="AC211" s="47" t="str">
        <f t="shared" si="176"/>
        <v>7.33976788506912-9.4899152199085i</v>
      </c>
      <c r="AD211" s="20">
        <f t="shared" si="177"/>
        <v>21.581533877441963</v>
      </c>
      <c r="AE211" s="43">
        <f t="shared" si="178"/>
        <v>-52.280623101681606</v>
      </c>
      <c r="AF211" t="str">
        <f t="shared" ref="AF211:AF274" si="211">COMPLEX($B$72,0)</f>
        <v>72.2956529813786</v>
      </c>
      <c r="AG211" t="str">
        <f t="shared" ref="AG211:AG274" si="212">IMSUM(COMPLEX(1,0),IMDIV(COMPLEX(0,2*PI()*O211),COMPLEX(wp_lf_DCM,0)))</f>
        <v>1+1.05566717236133i</v>
      </c>
      <c r="AH211">
        <f t="shared" si="179"/>
        <v>1.4541090670239858</v>
      </c>
      <c r="AI211">
        <f t="shared" si="180"/>
        <v>0.81247140357719416</v>
      </c>
      <c r="AJ211" t="str">
        <f t="shared" ref="AJ211:AJ274" si="213">IMSUM(COMPLEX(1,0),IMDIV(COMPLEX(0,2*PI()*O211),COMPLEX(wz1_dcm,0)))</f>
        <v>1+0.0201079461402158i</v>
      </c>
      <c r="AK211">
        <f t="shared" si="181"/>
        <v>1.0002021443178264</v>
      </c>
      <c r="AL211">
        <f t="shared" si="182"/>
        <v>2.0105236718895397E-2</v>
      </c>
      <c r="AM211" t="str">
        <f t="shared" ref="AM211:AM274" si="214">IMSUB(COMPLEX(1,0),IMDIV(COMPLEX(0,2*PI()*O211),COMPLEX(wz2_dcm,0)))</f>
        <v>1-0.00258902062923841i</v>
      </c>
      <c r="AN211">
        <f t="shared" si="183"/>
        <v>1.0000033515082929</v>
      </c>
      <c r="AO211">
        <f t="shared" si="184"/>
        <v>-2.5890148445025748E-3</v>
      </c>
      <c r="AP211" s="41" t="str">
        <f t="shared" si="185"/>
        <v>34.8256281651373-35.4977302514494i</v>
      </c>
      <c r="AQ211">
        <f t="shared" si="186"/>
        <v>33.932088780477436</v>
      </c>
      <c r="AR211" s="43">
        <f t="shared" si="187"/>
        <v>-45.547576813626044</v>
      </c>
      <c r="AS211" t="str">
        <f t="shared" ref="AS211:AS274" si="215">COMPLEX(Adc_ea,0)</f>
        <v>-0.0000166666666666667</v>
      </c>
      <c r="AT211" t="str">
        <f t="shared" ref="AT211:AT274" si="216">COMPLEX(0,2*PI()*O211*wp0_ea)</f>
        <v>0.0000181827172544504i</v>
      </c>
      <c r="AU211">
        <f t="shared" si="188"/>
        <v>1.8182717254450399E-5</v>
      </c>
      <c r="AV211">
        <f t="shared" si="189"/>
        <v>1.5707963267948966</v>
      </c>
      <c r="AW211" t="str">
        <f t="shared" ref="AW211:AW274" si="217">IMSUM(COMPLEX(1,0),IMDIV(COMPLEX(0,2*PI()*O211),COMPLEX(wp1_ea,0)))</f>
        <v>1+0.0181669882602857i</v>
      </c>
      <c r="AX211">
        <f t="shared" si="190"/>
        <v>1.0001650061177152</v>
      </c>
      <c r="AY211">
        <f t="shared" si="191"/>
        <v>1.816499004828415E-2</v>
      </c>
      <c r="AZ211" t="str">
        <f t="shared" ref="AZ211:AZ274" si="218">IMSUM(COMPLEX(1,0),IMDIV(COMPLEX(0,2*PI()*O211),COMPLEX(wz_ea,0)))</f>
        <v>1+0.617677600849714i</v>
      </c>
      <c r="BA211">
        <f t="shared" si="192"/>
        <v>1.1753831794744465</v>
      </c>
      <c r="BB211">
        <f t="shared" si="193"/>
        <v>0.553316433086951</v>
      </c>
      <c r="BC211" s="41" t="str">
        <f t="shared" si="194"/>
        <v>-0.549342916612391+0.926601246979755i</v>
      </c>
      <c r="BD211">
        <f t="shared" si="195"/>
        <v>0.64595560514575645</v>
      </c>
      <c r="BE211" s="43">
        <f t="shared" si="196"/>
        <v>120.66191908645131</v>
      </c>
      <c r="BF211" s="41" t="str">
        <f t="shared" si="197"/>
        <v>4.76131777925754+12.0142557801559i</v>
      </c>
      <c r="BG211" s="20">
        <f t="shared" si="198"/>
        <v>22.227489482587742</v>
      </c>
      <c r="BH211" s="43">
        <f t="shared" si="199"/>
        <v>68.381295984769736</v>
      </c>
      <c r="BI211" s="41" t="str">
        <f t="shared" si="203"/>
        <v>13.7610289668488+51.7698971541206i</v>
      </c>
      <c r="BJ211" s="20">
        <f t="shared" si="200"/>
        <v>34.578044385623194</v>
      </c>
      <c r="BK211" s="43">
        <f t="shared" si="204"/>
        <v>75.114342272825269</v>
      </c>
      <c r="BL211">
        <f t="shared" si="201"/>
        <v>22.227489482587742</v>
      </c>
      <c r="BM211" s="43">
        <f t="shared" si="202"/>
        <v>68.381295984769736</v>
      </c>
    </row>
    <row r="212" spans="14:65" x14ac:dyDescent="0.25">
      <c r="N212" s="9">
        <v>94</v>
      </c>
      <c r="O212" s="34">
        <f t="shared" si="205"/>
        <v>870.96358995608091</v>
      </c>
      <c r="P212" s="33" t="str">
        <f t="shared" si="206"/>
        <v>19.6196196196196</v>
      </c>
      <c r="Q212" s="4" t="str">
        <f t="shared" si="207"/>
        <v>1+1.3246392433246i</v>
      </c>
      <c r="R212" s="4">
        <f t="shared" ref="R212:R275" si="219">IMABS(Q212)</f>
        <v>1.6597195922671903</v>
      </c>
      <c r="S212" s="4">
        <f t="shared" ref="S212:S275" si="220">IMARGUMENT(Q212)</f>
        <v>0.92415223974320782</v>
      </c>
      <c r="T212" s="4" t="str">
        <f t="shared" si="208"/>
        <v>1+0.0205763203744416i</v>
      </c>
      <c r="U212" s="4">
        <f t="shared" ref="U212:U275" si="221">IMABS(T212)</f>
        <v>1.0002116700779649</v>
      </c>
      <c r="V212" s="4">
        <f t="shared" ref="V212:V275" si="222">IMARGUMENT(T212)</f>
        <v>2.0573417210372258E-2</v>
      </c>
      <c r="W212" t="str">
        <f t="shared" si="209"/>
        <v>1-0.0119709310689072i</v>
      </c>
      <c r="X212" s="4">
        <f t="shared" ref="X212:X275" si="223">IMABS(W212)</f>
        <v>1.0000716490285366</v>
      </c>
      <c r="Y212" s="4">
        <f t="shared" ref="Y212:Y275" si="224">IMARGUMENT(W212)</f>
        <v>-1.1970359293862939E-2</v>
      </c>
      <c r="Z212" t="str">
        <f t="shared" si="210"/>
        <v>0.999999241422425+0.00801319467469705i</v>
      </c>
      <c r="AA212" s="4">
        <f t="shared" ref="AA212:AA275" si="225">IMABS(Z212)</f>
        <v>1.0000313465758561</v>
      </c>
      <c r="AB212" s="4">
        <f t="shared" ref="AB212:AB275" si="226">IMARGUMENT(Z212)</f>
        <v>8.0130292470292647E-3</v>
      </c>
      <c r="AC212" s="47" t="str">
        <f t="shared" ref="AC212:AC275" si="227">(IMDIV(IMPRODUCT(P212,T212,W212),IMPRODUCT(Q212,Z212)))</f>
        <v>7.12967588131534-9.43266941023422i</v>
      </c>
      <c r="AD212" s="20">
        <f t="shared" ref="AD212:AD275" si="228">20*LOG(IMABS(AC212))</f>
        <v>21.455305642021937</v>
      </c>
      <c r="AE212" s="43">
        <f t="shared" ref="AE212:AE275" si="229">(180/PI())*IMARGUMENT(AC212)</f>
        <v>-52.916216812295026</v>
      </c>
      <c r="AF212" t="str">
        <f t="shared" si="211"/>
        <v>72.2956529813786</v>
      </c>
      <c r="AG212" t="str">
        <f t="shared" si="212"/>
        <v>1+1.08025681965818i</v>
      </c>
      <c r="AH212">
        <f t="shared" ref="AH212:AH275" si="230">IMABS(AG212)</f>
        <v>1.4720580139444253</v>
      </c>
      <c r="AI212">
        <f t="shared" ref="AI212:AI275" si="231">IMARGUMENT(AG212)</f>
        <v>0.82395928498272542</v>
      </c>
      <c r="AJ212" t="str">
        <f t="shared" si="213"/>
        <v>1+0.0205763203744416i</v>
      </c>
      <c r="AK212">
        <f t="shared" ref="AK212:AK275" si="232">IMABS(AJ212)</f>
        <v>1.0002116700779649</v>
      </c>
      <c r="AL212">
        <f t="shared" ref="AL212:AL275" si="233">IMARGUMENT(AJ212)</f>
        <v>2.0573417210372258E-2</v>
      </c>
      <c r="AM212" t="str">
        <f t="shared" si="214"/>
        <v>1-0.00264932666676997i</v>
      </c>
      <c r="AN212">
        <f t="shared" ref="AN212:AN275" si="234">IMABS(AM212)</f>
        <v>1.0000035094597355</v>
      </c>
      <c r="AO212">
        <f t="shared" ref="AO212:AO275" si="235">IMARGUMENT(AM212)</f>
        <v>-2.6493204683150219E-3</v>
      </c>
      <c r="AP212" s="41" t="str">
        <f t="shared" ref="AP212:AP275" si="236">(IMDIV(IMPRODUCT(AF212,AJ212,AM212),IMPRODUCT(AG212)))</f>
        <v>34.0107021371744-35.4442492089565i</v>
      </c>
      <c r="AQ212">
        <f t="shared" ref="AQ212:AQ275" si="237">20*LOG(IMABS(AP212))</f>
        <v>33.825614005951856</v>
      </c>
      <c r="AR212" s="43">
        <f t="shared" ref="AR212:AR275" si="238">(180/PI())*IMARGUMENT(AP212)</f>
        <v>-46.182414425223129</v>
      </c>
      <c r="AS212" t="str">
        <f t="shared" si="215"/>
        <v>-0.0000166666666666667</v>
      </c>
      <c r="AT212" t="str">
        <f t="shared" si="216"/>
        <v>0.0000186062471471015i</v>
      </c>
      <c r="AU212">
        <f t="shared" ref="AU212:AU275" si="239">IMABS(AT212)</f>
        <v>1.8606247147101502E-5</v>
      </c>
      <c r="AV212">
        <f t="shared" ref="AV212:AV275" si="240">IMARGUMENT(AT212)</f>
        <v>1.5707963267948966</v>
      </c>
      <c r="AW212" t="str">
        <f t="shared" si="217"/>
        <v>1+0.0185901517775971i</v>
      </c>
      <c r="AX212">
        <f t="shared" ref="AX212:AX275" si="241">IMABS(AW212)</f>
        <v>1.0001727819447568</v>
      </c>
      <c r="AY212">
        <f t="shared" ref="AY212:AY275" si="242">IMARGUMENT(AW212)</f>
        <v>1.8588010674837972E-2</v>
      </c>
      <c r="AZ212" t="str">
        <f t="shared" si="218"/>
        <v>1+0.6320651604383i</v>
      </c>
      <c r="BA212">
        <f t="shared" ref="BA212:BA275" si="243">IMABS(AZ212)</f>
        <v>1.1830073402307755</v>
      </c>
      <c r="BB212">
        <f t="shared" ref="BB212:BB275" si="244">IMARGUMENT(AZ212)</f>
        <v>0.56366375533193391</v>
      </c>
      <c r="BC212" s="41" t="str">
        <f t="shared" ref="BC212:BC275" si="245">IMPRODUCT(AS212,IMDIV(AZ212,IMPRODUCT(AT212,AW212)))</f>
        <v>-0.549334374930434+0.905968701024697i</v>
      </c>
      <c r="BD212">
        <f t="shared" ref="BD212:BD275" si="246">20*LOG(IMABS(BC212))</f>
        <v>0.50204743530349405</v>
      </c>
      <c r="BE212" s="43">
        <f t="shared" ref="BE212:BE275" si="247">(180/PI())*IMARGUMENT(BC212)</f>
        <v>121.23053968380212</v>
      </c>
      <c r="BF212" s="41" t="str">
        <f t="shared" ref="BF212:BF275" si="248">IMPRODUCT(AC212,BC212)</f>
        <v>4.62912720906634+11.6409527513188i</v>
      </c>
      <c r="BG212" s="20">
        <f t="shared" ref="BG212:BG275" si="249">20*LOG(IMABS(BF212))</f>
        <v>21.957353077325426</v>
      </c>
      <c r="BH212" s="43">
        <f t="shared" ref="BH212:BH275" si="250">(180/PI())*IMARGUMENT(BF212)</f>
        <v>68.314322871507059</v>
      </c>
      <c r="BI212" s="41" t="str">
        <f t="shared" si="203"/>
        <v>13.4281326151641+50.2833761202344i</v>
      </c>
      <c r="BJ212" s="20">
        <f t="shared" ref="BJ212:BJ275" si="251">20*LOG(IMABS(BI212))</f>
        <v>34.327661441255344</v>
      </c>
      <c r="BK212" s="43">
        <f t="shared" si="204"/>
        <v>75.048125258578978</v>
      </c>
      <c r="BL212">
        <f t="shared" ref="BL212:BL275" si="252">IF($B$31=0,BJ212,BG212)</f>
        <v>21.957353077325426</v>
      </c>
      <c r="BM212" s="43">
        <f t="shared" ref="BM212:BM275" si="253">IF($B$31=0,BK212,BH212)</f>
        <v>68.314322871507059</v>
      </c>
    </row>
    <row r="213" spans="14:65" x14ac:dyDescent="0.25">
      <c r="N213" s="9">
        <v>95</v>
      </c>
      <c r="O213" s="34">
        <f t="shared" si="205"/>
        <v>891.25093813374656</v>
      </c>
      <c r="P213" s="33" t="str">
        <f t="shared" si="206"/>
        <v>19.6196196196196</v>
      </c>
      <c r="Q213" s="4" t="str">
        <f t="shared" si="207"/>
        <v>1+1.35549405499415i</v>
      </c>
      <c r="R213" s="4">
        <f t="shared" si="219"/>
        <v>1.6844477234762982</v>
      </c>
      <c r="S213" s="4">
        <f t="shared" si="220"/>
        <v>0.93518894536263364</v>
      </c>
      <c r="T213" s="4" t="str">
        <f t="shared" si="208"/>
        <v>1+0.0210556044460898i</v>
      </c>
      <c r="U213" s="4">
        <f t="shared" si="221"/>
        <v>1.0002216446761139</v>
      </c>
      <c r="V213" s="4">
        <f t="shared" si="222"/>
        <v>2.1052493686972436E-2</v>
      </c>
      <c r="W213" t="str">
        <f t="shared" si="209"/>
        <v>1-0.0122497698738887i</v>
      </c>
      <c r="X213" s="4">
        <f t="shared" si="223"/>
        <v>1.00007502561656</v>
      </c>
      <c r="Y213" s="4">
        <f t="shared" si="224"/>
        <v>-1.2249157208372871E-2</v>
      </c>
      <c r="Z213" t="str">
        <f t="shared" si="210"/>
        <v>0.999999205671765+0.00819984595639897i</v>
      </c>
      <c r="AA213" s="4">
        <f t="shared" si="225"/>
        <v>1.0000328238702314</v>
      </c>
      <c r="AB213" s="4">
        <f t="shared" si="226"/>
        <v>8.1996686977735041E-3</v>
      </c>
      <c r="AC213" s="47" t="str">
        <f t="shared" si="227"/>
        <v>6.92221730758151-9.3711775512667i</v>
      </c>
      <c r="AD213" s="20">
        <f t="shared" si="228"/>
        <v>21.326952424883075</v>
      </c>
      <c r="AE213" s="43">
        <f t="shared" si="229"/>
        <v>-53.547792000500095</v>
      </c>
      <c r="AF213" t="str">
        <f t="shared" si="211"/>
        <v>72.2956529813786</v>
      </c>
      <c r="AG213" t="str">
        <f t="shared" si="212"/>
        <v>1+1.10541923341972i</v>
      </c>
      <c r="AH213">
        <f t="shared" si="230"/>
        <v>1.4906212401593641</v>
      </c>
      <c r="AI213">
        <f t="shared" si="231"/>
        <v>0.83542680711165207</v>
      </c>
      <c r="AJ213" t="str">
        <f t="shared" si="213"/>
        <v>1+0.0210556044460898i</v>
      </c>
      <c r="AK213">
        <f t="shared" si="232"/>
        <v>1.0002216446761139</v>
      </c>
      <c r="AL213">
        <f t="shared" si="233"/>
        <v>2.1052493686972436E-2</v>
      </c>
      <c r="AM213" t="str">
        <f t="shared" si="214"/>
        <v>1-0.00271103741236824i</v>
      </c>
      <c r="AN213">
        <f t="shared" si="234"/>
        <v>1.0000036748551733</v>
      </c>
      <c r="AO213">
        <f t="shared" si="235"/>
        <v>-2.7110307706054186E-3</v>
      </c>
      <c r="AP213" s="41" t="str">
        <f t="shared" si="236"/>
        <v>33.1986619112693-35.3722069481522i</v>
      </c>
      <c r="AQ213">
        <f t="shared" si="237"/>
        <v>33.716854474805331</v>
      </c>
      <c r="AR213" s="43">
        <f t="shared" si="238"/>
        <v>-46.815541724384033</v>
      </c>
      <c r="AS213" t="str">
        <f t="shared" si="215"/>
        <v>-0.0000166666666666667</v>
      </c>
      <c r="AT213" t="str">
        <f t="shared" si="216"/>
        <v>0.0000190396423182727i</v>
      </c>
      <c r="AU213">
        <f t="shared" si="239"/>
        <v>1.9039642318272699E-5</v>
      </c>
      <c r="AV213">
        <f t="shared" si="240"/>
        <v>1.5707963267948966</v>
      </c>
      <c r="AW213" t="str">
        <f t="shared" si="217"/>
        <v>1+0.0190231720394507i</v>
      </c>
      <c r="AX213">
        <f t="shared" si="241"/>
        <v>1.0001809241704436</v>
      </c>
      <c r="AY213">
        <f t="shared" si="242"/>
        <v>1.9020877828923279E-2</v>
      </c>
      <c r="AZ213" t="str">
        <f t="shared" si="218"/>
        <v>1+0.646787849341323i</v>
      </c>
      <c r="BA213">
        <f t="shared" si="243"/>
        <v>1.1909385047329581</v>
      </c>
      <c r="BB213">
        <f t="shared" si="244"/>
        <v>0.57411380281085611</v>
      </c>
      <c r="BC213" s="41" t="str">
        <f t="shared" si="245"/>
        <v>-0.549325430976108+0.885816496701094i</v>
      </c>
      <c r="BD213">
        <f t="shared" si="246"/>
        <v>0.36001467596754977</v>
      </c>
      <c r="BE213" s="43">
        <f t="shared" si="247"/>
        <v>121.80448183903673</v>
      </c>
      <c r="BF213" s="41" t="str">
        <f t="shared" si="248"/>
        <v>4.49859366262952+11.2796404319087i</v>
      </c>
      <c r="BG213" s="20">
        <f t="shared" si="249"/>
        <v>21.686967100850598</v>
      </c>
      <c r="BH213" s="43">
        <f t="shared" si="250"/>
        <v>68.256689838536545</v>
      </c>
      <c r="BI213" s="41" t="str">
        <f t="shared" si="203"/>
        <v>13.0964151771602+48.8387752157744i</v>
      </c>
      <c r="BJ213" s="20">
        <f t="shared" si="251"/>
        <v>34.076869150772879</v>
      </c>
      <c r="BK213" s="43">
        <f t="shared" si="204"/>
        <v>74.98894011465265</v>
      </c>
      <c r="BL213">
        <f t="shared" si="252"/>
        <v>21.686967100850598</v>
      </c>
      <c r="BM213" s="43">
        <f t="shared" si="253"/>
        <v>68.256689838536545</v>
      </c>
    </row>
    <row r="214" spans="14:65" x14ac:dyDescent="0.25">
      <c r="N214" s="9">
        <v>96</v>
      </c>
      <c r="O214" s="34">
        <f t="shared" si="205"/>
        <v>912.01083935590987</v>
      </c>
      <c r="P214" s="33" t="str">
        <f t="shared" si="206"/>
        <v>19.6196196196196</v>
      </c>
      <c r="Q214" s="4" t="str">
        <f t="shared" si="207"/>
        <v>1+1.38706756755373i</v>
      </c>
      <c r="R214" s="4">
        <f t="shared" si="219"/>
        <v>1.7099580219875055</v>
      </c>
      <c r="S214" s="4">
        <f t="shared" si="220"/>
        <v>0.94615091542195018</v>
      </c>
      <c r="T214" s="4" t="str">
        <f t="shared" si="208"/>
        <v>1+0.0215460524779192i</v>
      </c>
      <c r="U214" s="4">
        <f t="shared" si="221"/>
        <v>1.0002320892559793</v>
      </c>
      <c r="V214" s="4">
        <f t="shared" si="222"/>
        <v>2.1542719281241643E-2</v>
      </c>
      <c r="W214" t="str">
        <f t="shared" si="209"/>
        <v>1-0.0125351036690022i</v>
      </c>
      <c r="X214" s="4">
        <f t="shared" si="223"/>
        <v>1.0000785613260552</v>
      </c>
      <c r="Y214" s="4">
        <f t="shared" si="224"/>
        <v>-1.2534447188859548E-2</v>
      </c>
      <c r="Z214" t="str">
        <f t="shared" si="210"/>
        <v>0.999999168236229+0.00839084490496472i</v>
      </c>
      <c r="AA214" s="4">
        <f t="shared" si="225"/>
        <v>1.0000343707850092</v>
      </c>
      <c r="AB214" s="4">
        <f t="shared" si="226"/>
        <v>8.3906549692780268E-3</v>
      </c>
      <c r="AC214" s="47" t="str">
        <f t="shared" si="227"/>
        <v>6.71755865361028-9.30558698140513i</v>
      </c>
      <c r="AD214" s="20">
        <f t="shared" si="228"/>
        <v>21.196502163594953</v>
      </c>
      <c r="AE214" s="43">
        <f t="shared" si="229"/>
        <v>-54.175067381608116</v>
      </c>
      <c r="AF214" t="str">
        <f t="shared" si="211"/>
        <v>72.2956529813786</v>
      </c>
      <c r="AG214" t="str">
        <f t="shared" si="212"/>
        <v>1+1.13116775509076i</v>
      </c>
      <c r="AH214">
        <f t="shared" si="230"/>
        <v>1.5098147204730352</v>
      </c>
      <c r="AI214">
        <f t="shared" si="231"/>
        <v>0.84686798699281041</v>
      </c>
      <c r="AJ214" t="str">
        <f t="shared" si="213"/>
        <v>1+0.0215460524779192i</v>
      </c>
      <c r="AK214">
        <f t="shared" si="232"/>
        <v>1.0002320892559793</v>
      </c>
      <c r="AL214">
        <f t="shared" si="233"/>
        <v>2.1542719281241643E-2</v>
      </c>
      <c r="AM214" t="str">
        <f t="shared" si="214"/>
        <v>1-0.00277418558588737i</v>
      </c>
      <c r="AN214">
        <f t="shared" si="234"/>
        <v>1.0000038480454287</v>
      </c>
      <c r="AO214">
        <f t="shared" si="235"/>
        <v>-2.774178469111765E-3</v>
      </c>
      <c r="AP214" s="41" t="str">
        <f t="shared" si="236"/>
        <v>32.3903479417438-35.281792793232i</v>
      </c>
      <c r="AQ214">
        <f t="shared" si="237"/>
        <v>33.605819677465036</v>
      </c>
      <c r="AR214" s="43">
        <f t="shared" si="238"/>
        <v>-47.446603283273866</v>
      </c>
      <c r="AS214" t="str">
        <f t="shared" si="215"/>
        <v>-0.0000166666666666667</v>
      </c>
      <c r="AT214" t="str">
        <f t="shared" si="216"/>
        <v>0.0000194831325598206i</v>
      </c>
      <c r="AU214">
        <f t="shared" si="239"/>
        <v>1.94831325598206E-5</v>
      </c>
      <c r="AV214">
        <f t="shared" si="240"/>
        <v>1.5707963267948966</v>
      </c>
      <c r="AW214" t="str">
        <f t="shared" si="217"/>
        <v>1+0.0194662786389211i</v>
      </c>
      <c r="AX214">
        <f t="shared" si="241"/>
        <v>1.0001894500563622</v>
      </c>
      <c r="AY214">
        <f t="shared" si="242"/>
        <v>1.9463820373198427E-2</v>
      </c>
      <c r="AZ214" t="str">
        <f t="shared" si="218"/>
        <v>1+0.661853473723315i</v>
      </c>
      <c r="BA214">
        <f t="shared" si="243"/>
        <v>1.199187233370844</v>
      </c>
      <c r="BB214">
        <f t="shared" si="244"/>
        <v>0.58466298656524618</v>
      </c>
      <c r="BC214" s="41" t="str">
        <f t="shared" si="245"/>
        <v>-0.549316065818346+0.866133947973902i</v>
      </c>
      <c r="BD214">
        <f t="shared" si="246"/>
        <v>0.21989382461519227</v>
      </c>
      <c r="BE214" s="43">
        <f t="shared" si="247"/>
        <v>122.38352680711755</v>
      </c>
      <c r="BF214" s="41" t="str">
        <f t="shared" si="248"/>
        <v>4.36982189891379+10.9300140281536i</v>
      </c>
      <c r="BG214" s="20">
        <f t="shared" si="249"/>
        <v>21.416395988210137</v>
      </c>
      <c r="BH214" s="43">
        <f t="shared" si="250"/>
        <v>68.208459425509417</v>
      </c>
      <c r="BI214" s="41" t="str">
        <f t="shared" si="203"/>
        <v>12.7662199817531+47.4352355512272i</v>
      </c>
      <c r="BJ214" s="20">
        <f t="shared" si="251"/>
        <v>33.825713502080227</v>
      </c>
      <c r="BK214" s="43">
        <f t="shared" si="204"/>
        <v>74.936923523843731</v>
      </c>
      <c r="BL214">
        <f t="shared" si="252"/>
        <v>21.416395988210137</v>
      </c>
      <c r="BM214" s="43">
        <f t="shared" si="253"/>
        <v>68.208459425509417</v>
      </c>
    </row>
    <row r="215" spans="14:65" x14ac:dyDescent="0.25">
      <c r="N215" s="9">
        <v>97</v>
      </c>
      <c r="O215" s="34">
        <f t="shared" si="205"/>
        <v>933.25430079699106</v>
      </c>
      <c r="P215" s="33" t="str">
        <f t="shared" si="206"/>
        <v>19.6196196196196</v>
      </c>
      <c r="Q215" s="4" t="str">
        <f t="shared" si="207"/>
        <v>1+1.41937652169765i</v>
      </c>
      <c r="R215" s="4">
        <f t="shared" si="219"/>
        <v>1.73626890496447</v>
      </c>
      <c r="S215" s="4">
        <f t="shared" si="220"/>
        <v>0.95703342443925821</v>
      </c>
      <c r="T215" s="4" t="str">
        <f t="shared" si="208"/>
        <v>1+0.0220479245119681i</v>
      </c>
      <c r="U215" s="4">
        <f t="shared" si="221"/>
        <v>1.0002430259568349</v>
      </c>
      <c r="V215" s="4">
        <f t="shared" si="222"/>
        <v>2.2044352974245944E-2</v>
      </c>
      <c r="W215" t="str">
        <f t="shared" si="209"/>
        <v>1-0.0128270837420027i</v>
      </c>
      <c r="X215" s="4">
        <f t="shared" si="223"/>
        <v>1.0000822636550077</v>
      </c>
      <c r="Y215" s="4">
        <f t="shared" si="224"/>
        <v>-1.2826380313981372E-2</v>
      </c>
      <c r="Z215" t="str">
        <f t="shared" si="210"/>
        <v>0.99999912903641+0.00858629279056508i</v>
      </c>
      <c r="AA215" s="4">
        <f t="shared" si="225"/>
        <v>1.0000359906010703</v>
      </c>
      <c r="AB215" s="4">
        <f t="shared" si="226"/>
        <v>8.5860892712055666E-3</v>
      </c>
      <c r="AC215" s="47" t="str">
        <f t="shared" si="227"/>
        <v>6.51585609389715-9.2360522608773i</v>
      </c>
      <c r="AD215" s="20">
        <f t="shared" si="228"/>
        <v>21.063984451927919</v>
      </c>
      <c r="AE215" s="43">
        <f t="shared" si="229"/>
        <v>-54.797771821984291</v>
      </c>
      <c r="AF215" t="str">
        <f t="shared" si="211"/>
        <v>72.2956529813786</v>
      </c>
      <c r="AG215" t="str">
        <f t="shared" si="212"/>
        <v>1+1.15751603687832i</v>
      </c>
      <c r="AH215">
        <f t="shared" si="230"/>
        <v>1.5296546589444597</v>
      </c>
      <c r="AI215">
        <f t="shared" si="231"/>
        <v>0.85827691059289068</v>
      </c>
      <c r="AJ215" t="str">
        <f t="shared" si="213"/>
        <v>1+0.0220479245119681i</v>
      </c>
      <c r="AK215">
        <f t="shared" si="232"/>
        <v>1.0002430259568349</v>
      </c>
      <c r="AL215">
        <f t="shared" si="233"/>
        <v>2.2044352974245944E-2</v>
      </c>
      <c r="AM215" t="str">
        <f t="shared" si="214"/>
        <v>1-0.00283880466932482i</v>
      </c>
      <c r="AN215">
        <f t="shared" si="234"/>
        <v>1.0000040293978574</v>
      </c>
      <c r="AO215">
        <f t="shared" si="235"/>
        <v>-2.8387970435640279E-3</v>
      </c>
      <c r="AP215" s="41" t="str">
        <f t="shared" si="236"/>
        <v>31.5865851319622-35.1732429782471i</v>
      </c>
      <c r="AQ215">
        <f t="shared" si="237"/>
        <v>33.492521456445303</v>
      </c>
      <c r="AR215" s="43">
        <f t="shared" si="238"/>
        <v>-48.075247332469218</v>
      </c>
      <c r="AS215" t="str">
        <f t="shared" si="215"/>
        <v>-0.0000166666666666667</v>
      </c>
      <c r="AT215" t="str">
        <f t="shared" si="216"/>
        <v>0.0000199369530161414i</v>
      </c>
      <c r="AU215">
        <f t="shared" si="239"/>
        <v>1.9936953016141399E-5</v>
      </c>
      <c r="AV215">
        <f t="shared" si="240"/>
        <v>1.5707963267948966</v>
      </c>
      <c r="AW215" t="str">
        <f t="shared" si="217"/>
        <v>1+0.0199197065169925i</v>
      </c>
      <c r="AX215">
        <f t="shared" si="241"/>
        <v>1.0001983776770103</v>
      </c>
      <c r="AY215">
        <f t="shared" si="242"/>
        <v>1.9917072466028776E-2</v>
      </c>
      <c r="AZ215" t="str">
        <f t="shared" si="218"/>
        <v>1+0.677270021577743i</v>
      </c>
      <c r="BA215">
        <f t="shared" si="243"/>
        <v>1.2077643321972695</v>
      </c>
      <c r="BB215">
        <f t="shared" si="244"/>
        <v>0.59530750799296905</v>
      </c>
      <c r="BC215" s="41" t="str">
        <f t="shared" si="245"/>
        <v>-0.549306259636544+0.846910617749312i</v>
      </c>
      <c r="BD215">
        <f t="shared" si="246"/>
        <v>8.1720365373978837E-2</v>
      </c>
      <c r="BE215" s="43">
        <f t="shared" si="247"/>
        <v>122.96744352788797</v>
      </c>
      <c r="BF215" s="41" t="str">
        <f t="shared" si="248"/>
        <v>4.2429101865559+10.5917690308782i</v>
      </c>
      <c r="BG215" s="20">
        <f t="shared" si="249"/>
        <v>21.14570481730189</v>
      </c>
      <c r="BH215" s="43">
        <f t="shared" si="250"/>
        <v>68.169671705903653</v>
      </c>
      <c r="BI215" s="41" t="str">
        <f t="shared" si="203"/>
        <v>12.4378840054245+46.0718968663696i</v>
      </c>
      <c r="BJ215" s="20">
        <f t="shared" si="251"/>
        <v>33.574241821819285</v>
      </c>
      <c r="BK215" s="43">
        <f t="shared" si="204"/>
        <v>74.89219619541872</v>
      </c>
      <c r="BL215">
        <f t="shared" si="252"/>
        <v>21.14570481730189</v>
      </c>
      <c r="BM215" s="43">
        <f t="shared" si="253"/>
        <v>68.169671705903653</v>
      </c>
    </row>
    <row r="216" spans="14:65" x14ac:dyDescent="0.25">
      <c r="N216" s="9">
        <v>98</v>
      </c>
      <c r="O216" s="34">
        <f t="shared" si="205"/>
        <v>954.99258602143675</v>
      </c>
      <c r="P216" s="33" t="str">
        <f t="shared" si="206"/>
        <v>19.6196196196196</v>
      </c>
      <c r="Q216" s="4" t="str">
        <f t="shared" si="207"/>
        <v>1+1.45243804806103i</v>
      </c>
      <c r="R216" s="4">
        <f t="shared" si="219"/>
        <v>1.7633990709579426</v>
      </c>
      <c r="S216" s="4">
        <f t="shared" si="220"/>
        <v>0.96783193221080832</v>
      </c>
      <c r="T216" s="4" t="str">
        <f t="shared" si="208"/>
        <v>1+0.022561486647432i</v>
      </c>
      <c r="U216" s="4">
        <f t="shared" si="221"/>
        <v>1.000254477960355</v>
      </c>
      <c r="V216" s="4">
        <f t="shared" si="222"/>
        <v>2.2557659728396157E-2</v>
      </c>
      <c r="W216" t="str">
        <f t="shared" si="209"/>
        <v>1-0.0131258649045898i</v>
      </c>
      <c r="X216" s="4">
        <f t="shared" si="223"/>
        <v>1.0000861404546577</v>
      </c>
      <c r="Y216" s="4">
        <f t="shared" si="224"/>
        <v>-1.3125111171391403E-2</v>
      </c>
      <c r="Z216" t="str">
        <f t="shared" si="210"/>
        <v>0.999999087989161+0.00878629324225601i</v>
      </c>
      <c r="AA216" s="4">
        <f t="shared" si="225"/>
        <v>1.0000376867539005</v>
      </c>
      <c r="AB216" s="4">
        <f t="shared" si="226"/>
        <v>8.7860751677770847E-3</v>
      </c>
      <c r="AC216" s="47" t="str">
        <f t="shared" si="227"/>
        <v>6.31725515167811-9.16273433811397i</v>
      </c>
      <c r="AD216" s="20">
        <f t="shared" si="228"/>
        <v>20.929430433344734</v>
      </c>
      <c r="AE216" s="43">
        <f t="shared" si="229"/>
        <v>-55.415644796900573</v>
      </c>
      <c r="AF216" t="str">
        <f t="shared" si="211"/>
        <v>72.2956529813786</v>
      </c>
      <c r="AG216" t="str">
        <f t="shared" si="212"/>
        <v>1+1.18447804899018i</v>
      </c>
      <c r="AH216">
        <f t="shared" si="230"/>
        <v>1.5501574915277425</v>
      </c>
      <c r="AI216">
        <f t="shared" si="231"/>
        <v>0.86964774777538989</v>
      </c>
      <c r="AJ216" t="str">
        <f t="shared" si="213"/>
        <v>1+0.022561486647432i</v>
      </c>
      <c r="AK216">
        <f t="shared" si="232"/>
        <v>1.000254477960355</v>
      </c>
      <c r="AL216">
        <f t="shared" si="233"/>
        <v>2.2557659728396157E-2</v>
      </c>
      <c r="AM216" t="str">
        <f t="shared" si="214"/>
        <v>1-0.00290492892457398i</v>
      </c>
      <c r="AN216">
        <f t="shared" si="234"/>
        <v>1.0000042192971272</v>
      </c>
      <c r="AO216">
        <f t="shared" si="235"/>
        <v>-2.9049207534259363E-3</v>
      </c>
      <c r="AP216" s="41" t="str">
        <f t="shared" si="236"/>
        <v>30.7881795378379-35.0468391549975i</v>
      </c>
      <c r="AQ216">
        <f t="shared" si="237"/>
        <v>33.3769739583391</v>
      </c>
      <c r="AR216" s="43">
        <f t="shared" si="238"/>
        <v>-48.701126611449361</v>
      </c>
      <c r="AS216" t="str">
        <f t="shared" si="215"/>
        <v>-0.0000166666666666667</v>
      </c>
      <c r="AT216" t="str">
        <f t="shared" si="216"/>
        <v>0.0000204013443088481i</v>
      </c>
      <c r="AU216">
        <f t="shared" si="239"/>
        <v>2.0401344308848099E-5</v>
      </c>
      <c r="AV216">
        <f t="shared" si="240"/>
        <v>1.5707963267948966</v>
      </c>
      <c r="AW216" t="str">
        <f t="shared" si="217"/>
        <v>1+0.0203836960871277i</v>
      </c>
      <c r="AX216">
        <f t="shared" si="241"/>
        <v>1.0002077259580493</v>
      </c>
      <c r="AY216">
        <f t="shared" si="242"/>
        <v>2.0380873682326606E-2</v>
      </c>
      <c r="AZ216" t="str">
        <f t="shared" si="218"/>
        <v>1+0.69304566696234i</v>
      </c>
      <c r="BA216">
        <f t="shared" si="243"/>
        <v>1.2166808523582815</v>
      </c>
      <c r="BB216">
        <f t="shared" si="244"/>
        <v>0.60604336219355748</v>
      </c>
      <c r="BC216" s="41" t="str">
        <f t="shared" si="245"/>
        <v>-0.549295991678878+0.828136312335378i</v>
      </c>
      <c r="BD216">
        <f t="shared" si="246"/>
        <v>-5.4471346016644044E-2</v>
      </c>
      <c r="BE216" s="43">
        <f t="shared" si="247"/>
        <v>123.55598881082264</v>
      </c>
      <c r="BF216" s="41" t="str">
        <f t="shared" si="248"/>
        <v>4.11795009244491+10.2646016301368i</v>
      </c>
      <c r="BG216" s="20">
        <f t="shared" si="249"/>
        <v>20.874959087328087</v>
      </c>
      <c r="BH216" s="43">
        <f t="shared" si="250"/>
        <v>68.140344013922089</v>
      </c>
      <c r="BI216" s="41" t="str">
        <f t="shared" si="203"/>
        <v>12.1117365256068+44.7478977348391i</v>
      </c>
      <c r="BJ216" s="20">
        <f t="shared" si="251"/>
        <v>33.322502612322459</v>
      </c>
      <c r="BK216" s="43">
        <f t="shared" si="204"/>
        <v>74.85486219937323</v>
      </c>
      <c r="BL216">
        <f t="shared" si="252"/>
        <v>20.874959087328087</v>
      </c>
      <c r="BM216" s="43">
        <f t="shared" si="253"/>
        <v>68.140344013922089</v>
      </c>
    </row>
    <row r="217" spans="14:65" x14ac:dyDescent="0.25">
      <c r="N217" s="9">
        <v>99</v>
      </c>
      <c r="O217" s="34">
        <f t="shared" si="205"/>
        <v>977.23722095581138</v>
      </c>
      <c r="P217" s="33" t="str">
        <f t="shared" si="206"/>
        <v>19.6196196196196</v>
      </c>
      <c r="Q217" s="4" t="str">
        <f t="shared" si="207"/>
        <v>1+1.48626967630279i</v>
      </c>
      <c r="R217" s="4">
        <f t="shared" si="219"/>
        <v>1.791367508552391</v>
      </c>
      <c r="S217" s="4">
        <f t="shared" si="220"/>
        <v>0.97854209081659838</v>
      </c>
      <c r="T217" s="4" t="str">
        <f t="shared" si="208"/>
        <v>1+0.023087011181753i</v>
      </c>
      <c r="U217" s="4">
        <f t="shared" si="221"/>
        <v>1.0002664695396455</v>
      </c>
      <c r="V217" s="4">
        <f t="shared" si="222"/>
        <v>2.3082910623123447E-2</v>
      </c>
      <c r="W217" t="str">
        <f t="shared" si="209"/>
        <v>1-0.0134316055744906i</v>
      </c>
      <c r="X217" s="4">
        <f t="shared" si="223"/>
        <v>1.0000901999461393</v>
      </c>
      <c r="Y217" s="4">
        <f t="shared" si="224"/>
        <v>-1.3430797938751609E-2</v>
      </c>
      <c r="Z217" t="str">
        <f t="shared" si="210"/>
        <v>0.999999045007414+0.00899095230292433i</v>
      </c>
      <c r="AA217" s="4">
        <f t="shared" si="225"/>
        <v>1.0000394628408686</v>
      </c>
      <c r="AB217" s="4">
        <f t="shared" si="226"/>
        <v>8.9907186324081241E-3</v>
      </c>
      <c r="AC217" s="47" t="str">
        <f t="shared" si="227"/>
        <v>6.12189043889353-9.08579970588562i</v>
      </c>
      <c r="AD217" s="20">
        <f t="shared" si="228"/>
        <v>20.792872691474862</v>
      </c>
      <c r="AE217" s="43">
        <f t="shared" si="229"/>
        <v>-56.028436791925756</v>
      </c>
      <c r="AF217" t="str">
        <f t="shared" si="211"/>
        <v>72.2956529813786</v>
      </c>
      <c r="AG217" t="str">
        <f t="shared" si="212"/>
        <v>1+1.21206808704203i</v>
      </c>
      <c r="AH217">
        <f t="shared" si="230"/>
        <v>1.5713398892746679</v>
      </c>
      <c r="AI217">
        <f t="shared" si="231"/>
        <v>0.88097476673217556</v>
      </c>
      <c r="AJ217" t="str">
        <f t="shared" si="213"/>
        <v>1+0.023087011181753i</v>
      </c>
      <c r="AK217">
        <f t="shared" si="232"/>
        <v>1.0002664695396455</v>
      </c>
      <c r="AL217">
        <f t="shared" si="233"/>
        <v>2.3082910623123447E-2</v>
      </c>
      <c r="AM217" t="str">
        <f t="shared" si="214"/>
        <v>1-0.00297259341159022i</v>
      </c>
      <c r="AN217">
        <f t="shared" si="234"/>
        <v>1.0000044181460352</v>
      </c>
      <c r="AO217">
        <f t="shared" si="235"/>
        <v>-2.9725846560494343E-3</v>
      </c>
      <c r="AP217" s="41" t="str">
        <f t="shared" si="236"/>
        <v>29.9959152356451-34.902906631709i</v>
      </c>
      <c r="AQ217">
        <f t="shared" si="237"/>
        <v>33.259193576779872</v>
      </c>
      <c r="AR217" s="43">
        <f t="shared" si="238"/>
        <v>-49.323899188730117</v>
      </c>
      <c r="AS217" t="str">
        <f t="shared" si="215"/>
        <v>-0.0000166666666666667</v>
      </c>
      <c r="AT217" t="str">
        <f t="shared" si="216"/>
        <v>0.0000208765526643511i</v>
      </c>
      <c r="AU217">
        <f t="shared" si="239"/>
        <v>2.08765526643511E-5</v>
      </c>
      <c r="AV217">
        <f t="shared" si="240"/>
        <v>1.5707963267948966</v>
      </c>
      <c r="AW217" t="str">
        <f t="shared" si="217"/>
        <v>1+0.0208584933627384i</v>
      </c>
      <c r="AX217">
        <f t="shared" si="241"/>
        <v>1.0002175147163557</v>
      </c>
      <c r="AY217">
        <f t="shared" si="242"/>
        <v>2.0855469137026173E-2</v>
      </c>
      <c r="AZ217" t="str">
        <f t="shared" si="218"/>
        <v>1+0.709188774333105i</v>
      </c>
      <c r="BA217">
        <f t="shared" si="243"/>
        <v>1.2259480892925654</v>
      </c>
      <c r="BB217">
        <f t="shared" si="244"/>
        <v>0.61686634228504633</v>
      </c>
      <c r="BC217" s="41" t="str">
        <f t="shared" si="245"/>
        <v>-0.549285240218699+0.809801076031367i</v>
      </c>
      <c r="BD217">
        <f t="shared" si="246"/>
        <v>-0.18864819699064159</v>
      </c>
      <c r="BE217" s="43">
        <f t="shared" si="247"/>
        <v>124.14890757528865</v>
      </c>
      <c r="BF217" s="41" t="str">
        <f t="shared" si="248"/>
        <v>3.99502631811146+9.94820913878849i</v>
      </c>
      <c r="BG217" s="20">
        <f t="shared" si="249"/>
        <v>20.604224494484225</v>
      </c>
      <c r="BH217" s="43">
        <f t="shared" si="250"/>
        <v>68.120470783362919</v>
      </c>
      <c r="BI217" s="41" t="str">
        <f t="shared" si="203"/>
        <v>11.7880978411892+43.4623758879002i</v>
      </c>
      <c r="BJ217" s="20">
        <f t="shared" si="251"/>
        <v>33.070545379789237</v>
      </c>
      <c r="BK217" s="43">
        <f t="shared" si="204"/>
        <v>74.825008386558579</v>
      </c>
      <c r="BL217">
        <f t="shared" si="252"/>
        <v>20.604224494484225</v>
      </c>
      <c r="BM217" s="43">
        <f t="shared" si="253"/>
        <v>68.120470783362919</v>
      </c>
    </row>
    <row r="218" spans="14:65" x14ac:dyDescent="0.25">
      <c r="N218" s="9">
        <v>100</v>
      </c>
      <c r="O218" s="34">
        <f t="shared" si="205"/>
        <v>1000</v>
      </c>
      <c r="P218" s="33" t="str">
        <f t="shared" si="206"/>
        <v>19.6196196196196</v>
      </c>
      <c r="Q218" s="4" t="str">
        <f t="shared" si="207"/>
        <v>1+1.52088934440003i</v>
      </c>
      <c r="R218" s="4">
        <f t="shared" si="219"/>
        <v>1.8201935056222878</v>
      </c>
      <c r="S218" s="4">
        <f t="shared" si="220"/>
        <v>0.98915975063261796</v>
      </c>
      <c r="T218" s="4" t="str">
        <f t="shared" si="208"/>
        <v>1+0.0236247767549952i</v>
      </c>
      <c r="U218" s="4">
        <f t="shared" si="221"/>
        <v>1.0002790261105765</v>
      </c>
      <c r="V218" s="4">
        <f t="shared" si="222"/>
        <v>2.3620382993454706E-2</v>
      </c>
      <c r="W218" t="str">
        <f t="shared" si="209"/>
        <v>1-0.0137444678594554i</v>
      </c>
      <c r="X218" s="4">
        <f t="shared" si="223"/>
        <v>1.0000944507378988</v>
      </c>
      <c r="Y218" s="4">
        <f t="shared" si="224"/>
        <v>-1.3743602466583541E-2</v>
      </c>
      <c r="Z218" t="str">
        <f t="shared" si="210"/>
        <v>0.999999+0.00920037848551297i</v>
      </c>
      <c r="AA218" s="4">
        <f t="shared" si="225"/>
        <v>1.0000413226288585</v>
      </c>
      <c r="AB218" s="4">
        <f t="shared" si="226"/>
        <v>9.2001281036024826E-3</v>
      </c>
      <c r="AC218" s="47" t="str">
        <f t="shared" si="227"/>
        <v>5.92988547117335-9.0054195547391i</v>
      </c>
      <c r="AD218" s="20">
        <f t="shared" si="228"/>
        <v>20.654345138344098</v>
      </c>
      <c r="AE218" s="43">
        <f t="shared" si="229"/>
        <v>-56.63590964741141</v>
      </c>
      <c r="AF218" t="str">
        <f t="shared" si="211"/>
        <v>72.2956529813786</v>
      </c>
      <c r="AG218" t="str">
        <f t="shared" si="212"/>
        <v>1+1.24030077963725i</v>
      </c>
      <c r="AH218">
        <f t="shared" si="230"/>
        <v>1.5932187621192422</v>
      </c>
      <c r="AI218">
        <f t="shared" si="231"/>
        <v>0.89225234780371554</v>
      </c>
      <c r="AJ218" t="str">
        <f t="shared" si="213"/>
        <v>1+0.0236247767549952i</v>
      </c>
      <c r="AK218">
        <f t="shared" si="232"/>
        <v>1.0002790261105765</v>
      </c>
      <c r="AL218">
        <f t="shared" si="233"/>
        <v>2.3620382993454706E-2</v>
      </c>
      <c r="AM218" t="str">
        <f t="shared" si="214"/>
        <v>1-0.00304183400698021i</v>
      </c>
      <c r="AN218">
        <f t="shared" si="234"/>
        <v>1.0000046263663613</v>
      </c>
      <c r="AO218">
        <f t="shared" si="235"/>
        <v>-3.0418246252515743E-3</v>
      </c>
      <c r="AP218" s="41" t="str">
        <f t="shared" si="236"/>
        <v>29.2105513789974-34.7418123627583i</v>
      </c>
      <c r="AQ218">
        <f t="shared" si="237"/>
        <v>33.139198886872123</v>
      </c>
      <c r="AR218" s="43">
        <f t="shared" si="238"/>
        <v>-49.943229246830022</v>
      </c>
      <c r="AS218" t="str">
        <f t="shared" si="215"/>
        <v>-0.0000166666666666667</v>
      </c>
      <c r="AT218" t="str">
        <f t="shared" si="216"/>
        <v>0.0000213628300444106i</v>
      </c>
      <c r="AU218">
        <f t="shared" si="239"/>
        <v>2.1362830044410598E-5</v>
      </c>
      <c r="AV218">
        <f t="shared" si="240"/>
        <v>1.5707963267948966</v>
      </c>
      <c r="AW218" t="str">
        <f t="shared" si="217"/>
        <v>1+0.0213443500876248i</v>
      </c>
      <c r="AX218">
        <f t="shared" si="241"/>
        <v>1.0002277647019517</v>
      </c>
      <c r="AY218">
        <f t="shared" si="242"/>
        <v>2.1341109611242973E-2</v>
      </c>
      <c r="AZ218" t="str">
        <f t="shared" si="218"/>
        <v>1+0.725707902979242i</v>
      </c>
      <c r="BA218">
        <f t="shared" si="243"/>
        <v>1.2355775817189825</v>
      </c>
      <c r="BB218">
        <f t="shared" si="244"/>
        <v>0.62777204470715675</v>
      </c>
      <c r="BC218" s="41" t="str">
        <f t="shared" si="245"/>
        <v>-0.549273982508901+0.791895185842848i</v>
      </c>
      <c r="BD218">
        <f t="shared" si="246"/>
        <v>-0.32077843197327977</v>
      </c>
      <c r="BE218" s="43">
        <f t="shared" si="247"/>
        <v>124.7459331471678</v>
      </c>
      <c r="BF218" s="41" t="str">
        <f t="shared" si="248"/>
        <v>3.87421658331988+9.6422904202167i</v>
      </c>
      <c r="BG218" s="20">
        <f t="shared" si="249"/>
        <v>20.333566706370817</v>
      </c>
      <c r="BH218" s="43">
        <f t="shared" si="250"/>
        <v>68.110023499756394</v>
      </c>
      <c r="BI218" s="41" t="str">
        <f t="shared" si="203"/>
        <v>11.4672780703011+42.2144686489124i</v>
      </c>
      <c r="BJ218" s="20">
        <f t="shared" si="251"/>
        <v>32.818420454898842</v>
      </c>
      <c r="BK218" s="43">
        <f t="shared" si="204"/>
        <v>74.802703900337733</v>
      </c>
      <c r="BL218">
        <f t="shared" si="252"/>
        <v>20.333566706370817</v>
      </c>
      <c r="BM218" s="43">
        <f t="shared" si="253"/>
        <v>68.110023499756394</v>
      </c>
    </row>
    <row r="219" spans="14:65" x14ac:dyDescent="0.25">
      <c r="N219" s="9">
        <v>1</v>
      </c>
      <c r="O219" s="34">
        <f>10^(3+(N219/100))</f>
        <v>1023.2929922807547</v>
      </c>
      <c r="P219" s="33" t="str">
        <f t="shared" si="206"/>
        <v>19.6196196196196</v>
      </c>
      <c r="Q219" s="4" t="str">
        <f t="shared" si="207"/>
        <v>1+1.55631540815902i</v>
      </c>
      <c r="R219" s="4">
        <f t="shared" si="219"/>
        <v>1.8498966591875281</v>
      </c>
      <c r="S219" s="4">
        <f t="shared" si="220"/>
        <v>0.99968096535093265</v>
      </c>
      <c r="T219" s="4" t="str">
        <f t="shared" si="208"/>
        <v>1+0.0241750684975839i</v>
      </c>
      <c r="U219" s="4">
        <f t="shared" si="221"/>
        <v>1.0002921742855249</v>
      </c>
      <c r="V219" s="4">
        <f t="shared" si="222"/>
        <v>2.4170360571538058E-2</v>
      </c>
      <c r="W219" t="str">
        <f t="shared" si="209"/>
        <v>1-0.0140646176432087i</v>
      </c>
      <c r="X219" s="4">
        <f t="shared" si="223"/>
        <v>1.0000989018439375</v>
      </c>
      <c r="Y219" s="4">
        <f t="shared" si="224"/>
        <v>-1.4063690362992494E-2</v>
      </c>
      <c r="Z219" t="str">
        <f t="shared" si="210"/>
        <v>0.999998952871452+0.00941468283055603i</v>
      </c>
      <c r="AA219" s="4">
        <f t="shared" si="225"/>
        <v>1.000043270062251</v>
      </c>
      <c r="AB219" s="4">
        <f t="shared" si="226"/>
        <v>9.4144145421321199E-3</v>
      </c>
      <c r="AC219" s="47" t="str">
        <f t="shared" si="227"/>
        <v>5.74135255609599-8.92176893093793i</v>
      </c>
      <c r="AD219" s="20">
        <f t="shared" si="228"/>
        <v>20.513882901117704</v>
      </c>
      <c r="AE219" s="43">
        <f t="shared" si="229"/>
        <v>-57.237836846142798</v>
      </c>
      <c r="AF219" t="str">
        <f t="shared" si="211"/>
        <v>72.2956529813786</v>
      </c>
      <c r="AG219" t="str">
        <f t="shared" si="212"/>
        <v>1+1.26919109612315i</v>
      </c>
      <c r="AH219">
        <f t="shared" si="230"/>
        <v>1.6158112632601258</v>
      </c>
      <c r="AI219">
        <f t="shared" si="231"/>
        <v>0.90347499661088448</v>
      </c>
      <c r="AJ219" t="str">
        <f t="shared" si="213"/>
        <v>1+0.0241750684975839i</v>
      </c>
      <c r="AK219">
        <f t="shared" si="232"/>
        <v>1.0002921742855249</v>
      </c>
      <c r="AL219">
        <f t="shared" si="233"/>
        <v>2.4170360571538058E-2</v>
      </c>
      <c r="AM219" t="str">
        <f t="shared" si="214"/>
        <v>1-0.00311268742302413i</v>
      </c>
      <c r="AN219">
        <f t="shared" si="234"/>
        <v>1.0000048443997627</v>
      </c>
      <c r="AO219">
        <f t="shared" si="235"/>
        <v>-3.1126773703234107E-3</v>
      </c>
      <c r="AP219" s="41" t="str">
        <f t="shared" si="236"/>
        <v>28.4328194671115-34.563962712207i</v>
      </c>
      <c r="AQ219">
        <f t="shared" si="237"/>
        <v>33.017010571656513</v>
      </c>
      <c r="AR219" s="43">
        <f t="shared" si="238"/>
        <v>-50.558787827646938</v>
      </c>
      <c r="AS219" t="str">
        <f t="shared" si="215"/>
        <v>-0.0000166666666666667</v>
      </c>
      <c r="AT219" t="str">
        <f t="shared" si="216"/>
        <v>0.0000218604342797301i</v>
      </c>
      <c r="AU219">
        <f t="shared" si="239"/>
        <v>2.1860434279730101E-5</v>
      </c>
      <c r="AV219">
        <f t="shared" si="240"/>
        <v>1.5707963267948966</v>
      </c>
      <c r="AW219" t="str">
        <f t="shared" si="217"/>
        <v>1+0.0218415238694536i</v>
      </c>
      <c r="AX219">
        <f t="shared" si="241"/>
        <v>1.0002384976419074</v>
      </c>
      <c r="AY219">
        <f t="shared" si="242"/>
        <v>2.1838051681165888E-2</v>
      </c>
      <c r="AZ219" t="str">
        <f t="shared" si="218"/>
        <v>1+0.74261181156142i</v>
      </c>
      <c r="BA219">
        <f t="shared" si="243"/>
        <v>1.2455811104342158</v>
      </c>
      <c r="BB219">
        <f t="shared" si="244"/>
        <v>0.6387558755178625</v>
      </c>
      <c r="BC219" s="41" t="str">
        <f t="shared" si="245"/>
        <v>-0.549262194734171+0.77440914631974i</v>
      </c>
      <c r="BD219">
        <f t="shared" si="246"/>
        <v>-0.45083176448972795</v>
      </c>
      <c r="BE219" s="43">
        <f t="shared" si="247"/>
        <v>125.3467876122379</v>
      </c>
      <c r="BF219" s="41" t="str">
        <f t="shared" si="248"/>
        <v>3.75559155576569+9.34654631560506i</v>
      </c>
      <c r="BG219" s="20">
        <f t="shared" si="249"/>
        <v>20.063051136627976</v>
      </c>
      <c r="BH219" s="43">
        <f t="shared" si="250"/>
        <v>68.108950766095148</v>
      </c>
      <c r="BI219" s="41" t="str">
        <f t="shared" si="203"/>
        <v>11.1495760344014+41.003313469006i</v>
      </c>
      <c r="BJ219" s="20">
        <f t="shared" si="251"/>
        <v>32.566178807166793</v>
      </c>
      <c r="BK219" s="43">
        <f t="shared" si="204"/>
        <v>74.787999784591022</v>
      </c>
      <c r="BL219">
        <f t="shared" si="252"/>
        <v>20.063051136627976</v>
      </c>
      <c r="BM219" s="43">
        <f t="shared" si="253"/>
        <v>68.108950766095148</v>
      </c>
    </row>
    <row r="220" spans="14:65" x14ac:dyDescent="0.25">
      <c r="N220" s="9">
        <v>2</v>
      </c>
      <c r="O220" s="34">
        <f t="shared" ref="O220:O283" si="254">10^(3+(N220/100))</f>
        <v>1047.1285480509</v>
      </c>
      <c r="P220" s="33" t="str">
        <f t="shared" si="206"/>
        <v>19.6196196196196</v>
      </c>
      <c r="Q220" s="4" t="str">
        <f t="shared" si="207"/>
        <v>1+1.59256665094769i</v>
      </c>
      <c r="R220" s="4">
        <f t="shared" si="219"/>
        <v>1.8804968858551032</v>
      </c>
      <c r="S220" s="4">
        <f t="shared" si="220"/>
        <v>1.0101019960168718</v>
      </c>
      <c r="T220" s="4" t="str">
        <f t="shared" si="208"/>
        <v>1+0.0247381781814848i</v>
      </c>
      <c r="U220" s="4">
        <f t="shared" si="221"/>
        <v>1.0003059419296372</v>
      </c>
      <c r="V220" s="4">
        <f t="shared" si="222"/>
        <v>2.4733133631165253E-2</v>
      </c>
      <c r="W220" t="str">
        <f t="shared" si="209"/>
        <v>1-0.0143922246734037i</v>
      </c>
      <c r="X220" s="4">
        <f t="shared" si="223"/>
        <v>1.0001035627029082</v>
      </c>
      <c r="Y220" s="4">
        <f t="shared" si="224"/>
        <v>-1.4391231080307511E-2</v>
      </c>
      <c r="Z220" t="str">
        <f t="shared" si="210"/>
        <v>0.999998903521804+0.00963397896505393i</v>
      </c>
      <c r="AA220" s="4">
        <f t="shared" si="225"/>
        <v>1.0000453092712898</v>
      </c>
      <c r="AB220" s="4">
        <f t="shared" si="226"/>
        <v>9.6336914895316806E-3</v>
      </c>
      <c r="AC220" s="47" t="str">
        <f t="shared" si="227"/>
        <v>5.55639275225269-8.83502590568924i</v>
      </c>
      <c r="AD220" s="20">
        <f t="shared" si="228"/>
        <v>20.371522208092465</v>
      </c>
      <c r="AE220" s="43">
        <f t="shared" si="229"/>
        <v>-57.83400374468863</v>
      </c>
      <c r="AF220" t="str">
        <f t="shared" si="211"/>
        <v>72.2956529813786</v>
      </c>
      <c r="AG220" t="str">
        <f t="shared" si="212"/>
        <v>1+1.29875435452795i</v>
      </c>
      <c r="AH220">
        <f t="shared" si="230"/>
        <v>1.6391347941537062</v>
      </c>
      <c r="AI220">
        <f t="shared" si="231"/>
        <v>0.91463735642913302</v>
      </c>
      <c r="AJ220" t="str">
        <f t="shared" si="213"/>
        <v>1+0.0247381781814848i</v>
      </c>
      <c r="AK220">
        <f t="shared" si="232"/>
        <v>1.0003059419296372</v>
      </c>
      <c r="AL220">
        <f t="shared" si="233"/>
        <v>2.4733133631165253E-2</v>
      </c>
      <c r="AM220" t="str">
        <f t="shared" si="214"/>
        <v>1-0.00318519122714104i</v>
      </c>
      <c r="AN220">
        <f t="shared" si="234"/>
        <v>1.0000050727087104</v>
      </c>
      <c r="AO220">
        <f t="shared" si="235"/>
        <v>-3.1851804554811004E-3</v>
      </c>
      <c r="AP220" s="41" t="str">
        <f t="shared" si="236"/>
        <v>27.6634208434415-34.3698010159954i</v>
      </c>
      <c r="AQ220">
        <f t="shared" si="237"/>
        <v>32.892651341231513</v>
      </c>
      <c r="AR220" s="43">
        <f t="shared" si="238"/>
        <v>-51.170253534279794</v>
      </c>
      <c r="AS220" t="str">
        <f t="shared" si="215"/>
        <v>-0.0000166666666666667</v>
      </c>
      <c r="AT220" t="str">
        <f t="shared" si="216"/>
        <v>0.0000223696292066618i</v>
      </c>
      <c r="AU220">
        <f t="shared" si="239"/>
        <v>2.2369629206661802E-5</v>
      </c>
      <c r="AV220">
        <f t="shared" si="240"/>
        <v>1.5707963267948966</v>
      </c>
      <c r="AW220" t="str">
        <f t="shared" si="217"/>
        <v>1+0.0223502783163447i</v>
      </c>
      <c r="AX220">
        <f t="shared" si="241"/>
        <v>1.0002497362863028</v>
      </c>
      <c r="AY220">
        <f t="shared" si="242"/>
        <v>2.2346557849730893E-2</v>
      </c>
      <c r="AZ220" t="str">
        <f t="shared" si="218"/>
        <v>1+0.759909462755717i</v>
      </c>
      <c r="BA220">
        <f t="shared" si="243"/>
        <v>1.2559706969454671</v>
      </c>
      <c r="BB220">
        <f t="shared" si="244"/>
        <v>0.64981305768197084</v>
      </c>
      <c r="BC220" s="41" t="str">
        <f t="shared" si="245"/>
        <v>-0.549249851960995+0.7573336845145i</v>
      </c>
      <c r="BD220">
        <f t="shared" si="246"/>
        <v>-0.5787794868039281</v>
      </c>
      <c r="BE220" s="43">
        <f t="shared" si="247"/>
        <v>125.95118222623354</v>
      </c>
      <c r="BF220" s="41" t="str">
        <f t="shared" si="248"/>
        <v>3.63921482532476+9.06068006644457i</v>
      </c>
      <c r="BG220" s="20">
        <f t="shared" si="249"/>
        <v>19.792742721288541</v>
      </c>
      <c r="BH220" s="43">
        <f t="shared" si="250"/>
        <v>68.117178481544897</v>
      </c>
      <c r="BI220" s="41" t="str">
        <f t="shared" si="203"/>
        <v>10.8352782364791+39.8280485536031i</v>
      </c>
      <c r="BJ220" s="20">
        <f t="shared" si="251"/>
        <v>32.313871854427589</v>
      </c>
      <c r="BK220" s="43">
        <f t="shared" si="204"/>
        <v>74.780928691953676</v>
      </c>
      <c r="BL220">
        <f t="shared" si="252"/>
        <v>19.792742721288541</v>
      </c>
      <c r="BM220" s="43">
        <f t="shared" si="253"/>
        <v>68.117178481544897</v>
      </c>
    </row>
    <row r="221" spans="14:65" x14ac:dyDescent="0.25">
      <c r="N221" s="9">
        <v>3</v>
      </c>
      <c r="O221" s="34">
        <f t="shared" si="254"/>
        <v>1071.5193052376069</v>
      </c>
      <c r="P221" s="33" t="str">
        <f t="shared" si="206"/>
        <v>19.6196196196196</v>
      </c>
      <c r="Q221" s="4" t="str">
        <f t="shared" si="207"/>
        <v>1+1.6296622936548i</v>
      </c>
      <c r="R221" s="4">
        <f t="shared" si="219"/>
        <v>1.9120144328326143</v>
      </c>
      <c r="S221" s="4">
        <f t="shared" si="220"/>
        <v>1.0204193141003297</v>
      </c>
      <c r="T221" s="4" t="str">
        <f t="shared" si="208"/>
        <v>1+0.025314404374906i</v>
      </c>
      <c r="U221" s="4">
        <f t="shared" si="221"/>
        <v>1.0003203582197338</v>
      </c>
      <c r="V221" s="4">
        <f t="shared" si="222"/>
        <v>2.5308999135342135E-2</v>
      </c>
      <c r="W221" t="str">
        <f t="shared" si="209"/>
        <v>1-0.0147274626516242i</v>
      </c>
      <c r="X221" s="4">
        <f t="shared" si="223"/>
        <v>1.000108443198114</v>
      </c>
      <c r="Y221" s="4">
        <f t="shared" si="224"/>
        <v>-1.4726398003674878E-2</v>
      </c>
      <c r="Z221" t="str">
        <f t="shared" si="210"/>
        <v>0.999998851846378+0.00985838316271987i</v>
      </c>
      <c r="AA221" s="4">
        <f t="shared" si="225"/>
        <v>1.0000474445808345</v>
      </c>
      <c r="AB221" s="4">
        <f t="shared" si="226"/>
        <v>9.8580751279371617E-3</v>
      </c>
      <c r="AC221" s="47" t="str">
        <f t="shared" si="227"/>
        <v>5.37509589600798-8.74537076195395i</v>
      </c>
      <c r="AD221" s="20">
        <f t="shared" si="228"/>
        <v>20.227300274647696</v>
      </c>
      <c r="AE221" s="43">
        <f t="shared" si="229"/>
        <v>-58.424207749421882</v>
      </c>
      <c r="AF221" t="str">
        <f t="shared" si="211"/>
        <v>72.2956529813786</v>
      </c>
      <c r="AG221" t="str">
        <f t="shared" si="212"/>
        <v>1+1.32900622968257i</v>
      </c>
      <c r="AH221">
        <f t="shared" si="230"/>
        <v>1.6632070101268452</v>
      </c>
      <c r="AI221">
        <f t="shared" si="231"/>
        <v>0.92573421974400361</v>
      </c>
      <c r="AJ221" t="str">
        <f t="shared" si="213"/>
        <v>1+0.025314404374906i</v>
      </c>
      <c r="AK221">
        <f t="shared" si="232"/>
        <v>1.0003203582197338</v>
      </c>
      <c r="AL221">
        <f t="shared" si="233"/>
        <v>2.5308999135342135E-2</v>
      </c>
      <c r="AM221" t="str">
        <f t="shared" si="214"/>
        <v>1-0.00325938386180756i</v>
      </c>
      <c r="AN221">
        <f t="shared" si="234"/>
        <v>1.0000053117774719</v>
      </c>
      <c r="AO221">
        <f t="shared" si="235"/>
        <v>-3.2593723197692965E-3</v>
      </c>
      <c r="AP221" s="41" t="str">
        <f t="shared" si="236"/>
        <v>26.9030244405678-34.1598049693049i</v>
      </c>
      <c r="AQ221">
        <f t="shared" si="237"/>
        <v>32.766145845204761</v>
      </c>
      <c r="AR221" s="43">
        <f t="shared" si="238"/>
        <v>-51.777313185796928</v>
      </c>
      <c r="AS221" t="str">
        <f t="shared" si="215"/>
        <v>-0.0000166666666666667</v>
      </c>
      <c r="AT221" t="str">
        <f t="shared" si="216"/>
        <v>0.0000228906848070959i</v>
      </c>
      <c r="AU221">
        <f t="shared" si="239"/>
        <v>2.28906848070959E-5</v>
      </c>
      <c r="AV221">
        <f t="shared" si="240"/>
        <v>1.5707963267948966</v>
      </c>
      <c r="AW221" t="str">
        <f t="shared" si="217"/>
        <v>1+0.02287088317664i</v>
      </c>
      <c r="AX221">
        <f t="shared" si="241"/>
        <v>1.0002615044563494</v>
      </c>
      <c r="AY221">
        <f t="shared" si="242"/>
        <v>2.2866896681126261E-2</v>
      </c>
      <c r="AZ221" t="str">
        <f t="shared" si="218"/>
        <v>1+0.777610028005758i</v>
      </c>
      <c r="BA221">
        <f t="shared" si="243"/>
        <v>1.266758601966103</v>
      </c>
      <c r="BB221">
        <f t="shared" si="244"/>
        <v>0.6609386393416361</v>
      </c>
      <c r="BC221" s="41" t="str">
        <f t="shared" si="245"/>
        <v>-0.549236928085379+0.740659745057812i</v>
      </c>
      <c r="BD221">
        <f t="shared" si="246"/>
        <v>-0.70459457631453049</v>
      </c>
      <c r="BE221" s="43">
        <f t="shared" si="247"/>
        <v>126.55881788100476</v>
      </c>
      <c r="BF221" s="41" t="str">
        <f t="shared" si="248"/>
        <v>3.5251429208971+8.78439772826184i</v>
      </c>
      <c r="BG221" s="20">
        <f t="shared" si="249"/>
        <v>19.522705698333166</v>
      </c>
      <c r="BH221" s="43">
        <f t="shared" si="250"/>
        <v>68.134610131582903</v>
      </c>
      <c r="BI221" s="41" t="str">
        <f t="shared" si="203"/>
        <v>10.5246579398466+38.6878135687717i</v>
      </c>
      <c r="BJ221" s="20">
        <f t="shared" si="251"/>
        <v>32.061551268890234</v>
      </c>
      <c r="BK221" s="43">
        <f t="shared" si="204"/>
        <v>74.781504695207843</v>
      </c>
      <c r="BL221">
        <f t="shared" si="252"/>
        <v>19.522705698333166</v>
      </c>
      <c r="BM221" s="43">
        <f t="shared" si="253"/>
        <v>68.134610131582903</v>
      </c>
    </row>
    <row r="222" spans="14:65" x14ac:dyDescent="0.25">
      <c r="N222" s="9">
        <v>4</v>
      </c>
      <c r="O222" s="34">
        <f t="shared" si="254"/>
        <v>1096.4781961431863</v>
      </c>
      <c r="P222" s="33" t="str">
        <f t="shared" si="206"/>
        <v>19.6196196196196</v>
      </c>
      <c r="Q222" s="4" t="str">
        <f t="shared" si="207"/>
        <v>1+1.66762200488114i</v>
      </c>
      <c r="R222" s="4">
        <f t="shared" si="219"/>
        <v>1.9444698894978529</v>
      </c>
      <c r="S222" s="4">
        <f t="shared" si="220"/>
        <v>1.0306296036252762</v>
      </c>
      <c r="T222" s="4" t="str">
        <f t="shared" si="208"/>
        <v>1+0.0259040526006026i</v>
      </c>
      <c r="U222" s="4">
        <f t="shared" si="221"/>
        <v>1.000335453705973</v>
      </c>
      <c r="V222" s="4">
        <f t="shared" si="222"/>
        <v>2.5898260886953312E-2</v>
      </c>
      <c r="W222" t="str">
        <f t="shared" si="209"/>
        <v>1-0.0150705093254836i</v>
      </c>
      <c r="X222" s="4">
        <f t="shared" si="223"/>
        <v>1.0001135536784458</v>
      </c>
      <c r="Y222" s="4">
        <f t="shared" si="224"/>
        <v>-1.5069368541648077E-2</v>
      </c>
      <c r="Z222" t="str">
        <f t="shared" si="210"/>
        <v>0.999998797735565+0.0100880144056298i</v>
      </c>
      <c r="AA222" s="4">
        <f t="shared" si="225"/>
        <v>1.0000496805195347</v>
      </c>
      <c r="AB222" s="4">
        <f t="shared" si="226"/>
        <v>1.0087684341298888E-2</v>
      </c>
      <c r="AC222" s="47" t="str">
        <f t="shared" si="227"/>
        <v>5.19754069228228-8.65298520458536i</v>
      </c>
      <c r="AD222" s="20">
        <f t="shared" si="228"/>
        <v>20.081255189826031</v>
      </c>
      <c r="AE222" s="43">
        <f t="shared" si="229"/>
        <v>-59.008258438598375</v>
      </c>
      <c r="AF222" t="str">
        <f t="shared" si="211"/>
        <v>72.2956529813786</v>
      </c>
      <c r="AG222" t="str">
        <f t="shared" si="212"/>
        <v>1+1.35996276153164i</v>
      </c>
      <c r="AH222">
        <f t="shared" si="230"/>
        <v>1.6880458266151321</v>
      </c>
      <c r="AI222">
        <f t="shared" si="231"/>
        <v>0.93676053893587252</v>
      </c>
      <c r="AJ222" t="str">
        <f t="shared" si="213"/>
        <v>1+0.0259040526006026i</v>
      </c>
      <c r="AK222">
        <f t="shared" si="232"/>
        <v>1.000335453705973</v>
      </c>
      <c r="AL222">
        <f t="shared" si="233"/>
        <v>2.5898260886953312E-2</v>
      </c>
      <c r="AM222" t="str">
        <f t="shared" si="214"/>
        <v>1-0.00333530466494066i</v>
      </c>
      <c r="AN222">
        <f t="shared" si="234"/>
        <v>1.0000055621131354</v>
      </c>
      <c r="AO222">
        <f t="shared" si="235"/>
        <v>-3.3352922974275545E-3</v>
      </c>
      <c r="AP222" s="41" t="str">
        <f t="shared" si="236"/>
        <v>26.1522647838718-33.9344838668001i</v>
      </c>
      <c r="AQ222">
        <f t="shared" si="237"/>
        <v>32.637520579185647</v>
      </c>
      <c r="AR222" s="43">
        <f t="shared" si="238"/>
        <v>-52.379662421959821</v>
      </c>
      <c r="AS222" t="str">
        <f t="shared" si="215"/>
        <v>-0.0000166666666666667</v>
      </c>
      <c r="AT222" t="str">
        <f t="shared" si="216"/>
        <v>0.0000234238773516088i</v>
      </c>
      <c r="AU222">
        <f t="shared" si="239"/>
        <v>2.3423877351608799E-5</v>
      </c>
      <c r="AV222">
        <f t="shared" si="240"/>
        <v>1.5707963267948966</v>
      </c>
      <c r="AW222" t="str">
        <f t="shared" si="217"/>
        <v>1+0.0234036144819275i</v>
      </c>
      <c r="AX222">
        <f t="shared" si="241"/>
        <v>1.0002738270947704</v>
      </c>
      <c r="AY222">
        <f t="shared" si="242"/>
        <v>2.3399342938177671E-2</v>
      </c>
      <c r="AZ222" t="str">
        <f t="shared" si="218"/>
        <v>1+0.795722892385533i</v>
      </c>
      <c r="BA222">
        <f t="shared" si="243"/>
        <v>1.2779573238048281</v>
      </c>
      <c r="BB222">
        <f t="shared" si="244"/>
        <v>0.67212750304959212</v>
      </c>
      <c r="BC222" s="41" t="str">
        <f t="shared" si="245"/>
        <v>-0.549223395778123+0.724378485349058i</v>
      </c>
      <c r="BD222">
        <f t="shared" si="246"/>
        <v>-0.82825179793335657</v>
      </c>
      <c r="BE222" s="43">
        <f t="shared" si="247"/>
        <v>127.16938562567113</v>
      </c>
      <c r="BF222" s="41" t="str">
        <f t="shared" si="248"/>
        <v>3.4134253675351+8.51740857189576i</v>
      </c>
      <c r="BG222" s="20">
        <f t="shared" si="249"/>
        <v>19.253003391892673</v>
      </c>
      <c r="BH222" s="43">
        <f t="shared" si="250"/>
        <v>68.161127187072779</v>
      </c>
      <c r="BI222" s="41" t="str">
        <f t="shared" si="203"/>
        <v>10.217974352648+37.5817504158904i</v>
      </c>
      <c r="BJ222" s="20">
        <f t="shared" si="251"/>
        <v>31.809268781252275</v>
      </c>
      <c r="BK222" s="43">
        <f t="shared" si="204"/>
        <v>74.789723203711318</v>
      </c>
      <c r="BL222">
        <f t="shared" si="252"/>
        <v>19.253003391892673</v>
      </c>
      <c r="BM222" s="43">
        <f t="shared" si="253"/>
        <v>68.161127187072779</v>
      </c>
    </row>
    <row r="223" spans="14:65" x14ac:dyDescent="0.25">
      <c r="N223" s="9">
        <v>5</v>
      </c>
      <c r="O223" s="34">
        <f t="shared" si="254"/>
        <v>1122.0184543019636</v>
      </c>
      <c r="P223" s="33" t="str">
        <f t="shared" si="206"/>
        <v>19.6196196196196</v>
      </c>
      <c r="Q223" s="4" t="str">
        <f t="shared" si="207"/>
        <v>1+1.70646591136805i</v>
      </c>
      <c r="R223" s="4">
        <f t="shared" si="219"/>
        <v>1.9778841995074408</v>
      </c>
      <c r="S223" s="4">
        <f t="shared" si="220"/>
        <v>1.0407297623879275</v>
      </c>
      <c r="T223" s="4" t="str">
        <f t="shared" si="208"/>
        <v>1+0.0265074354978687i</v>
      </c>
      <c r="U223" s="4">
        <f t="shared" si="221"/>
        <v>1.0003512603764109</v>
      </c>
      <c r="V223" s="4">
        <f t="shared" si="222"/>
        <v>2.6501229682569578E-2</v>
      </c>
      <c r="W223" t="str">
        <f t="shared" si="209"/>
        <v>1-0.0154215465828691i</v>
      </c>
      <c r="X223" s="4">
        <f t="shared" si="223"/>
        <v>1.0001189049803065</v>
      </c>
      <c r="Y223" s="4">
        <f t="shared" si="224"/>
        <v>-1.5420324218815146E-2</v>
      </c>
      <c r="Z223" t="str">
        <f t="shared" si="210"/>
        <v>0.999998741074588+0.0103229944473083i</v>
      </c>
      <c r="AA223" s="4">
        <f t="shared" si="225"/>
        <v>1.0000520218294247</v>
      </c>
      <c r="AB223" s="4">
        <f t="shared" si="226"/>
        <v>1.0322640777999237E-2</v>
      </c>
      <c r="AC223" s="47" t="str">
        <f t="shared" si="227"/>
        <v>5.02379486521539-8.5580515989542i</v>
      </c>
      <c r="AD223" s="20">
        <f t="shared" si="228"/>
        <v>19.933425804180253</v>
      </c>
      <c r="AE223" s="43">
        <f t="shared" si="229"/>
        <v>-59.585977632233664</v>
      </c>
      <c r="AF223" t="str">
        <f t="shared" si="211"/>
        <v>72.2956529813786</v>
      </c>
      <c r="AG223" t="str">
        <f t="shared" si="212"/>
        <v>1+1.39164036363811i</v>
      </c>
      <c r="AH223">
        <f t="shared" si="230"/>
        <v>1.7136694260290724</v>
      </c>
      <c r="AI223">
        <f t="shared" si="231"/>
        <v>0.94771143605084907</v>
      </c>
      <c r="AJ223" t="str">
        <f t="shared" si="213"/>
        <v>1+0.0265074354978687i</v>
      </c>
      <c r="AK223">
        <f t="shared" si="232"/>
        <v>1.0003512603764109</v>
      </c>
      <c r="AL223">
        <f t="shared" si="233"/>
        <v>2.6501229682569578E-2</v>
      </c>
      <c r="AM223" t="str">
        <f t="shared" si="214"/>
        <v>1-0.00341299389075508i</v>
      </c>
      <c r="AN223">
        <f t="shared" si="234"/>
        <v>1.0000058242466883</v>
      </c>
      <c r="AO223">
        <f t="shared" si="235"/>
        <v>-3.412980638730198E-3</v>
      </c>
      <c r="AP223" s="41" t="str">
        <f t="shared" si="236"/>
        <v>25.4117402631194-33.6943757242181i</v>
      </c>
      <c r="AQ223">
        <f t="shared" si="237"/>
        <v>32.506803786061901</v>
      </c>
      <c r="AR223" s="43">
        <f t="shared" si="238"/>
        <v>-52.977006255437118</v>
      </c>
      <c r="AS223" t="str">
        <f t="shared" si="215"/>
        <v>-0.0000166666666666667</v>
      </c>
      <c r="AT223" t="str">
        <f t="shared" si="216"/>
        <v>0.0000239694895459451i</v>
      </c>
      <c r="AU223">
        <f t="shared" si="239"/>
        <v>2.3969489545945099E-5</v>
      </c>
      <c r="AV223">
        <f t="shared" si="240"/>
        <v>1.5707963267948966</v>
      </c>
      <c r="AW223" t="str">
        <f t="shared" si="217"/>
        <v>1+0.0239487546933968i</v>
      </c>
      <c r="AX223">
        <f t="shared" si="241"/>
        <v>1.0002867303185445</v>
      </c>
      <c r="AY223">
        <f t="shared" si="242"/>
        <v>2.3944177722662403E-2</v>
      </c>
      <c r="AZ223" t="str">
        <f t="shared" si="218"/>
        <v>1+0.814257659575489i</v>
      </c>
      <c r="BA223">
        <f t="shared" si="243"/>
        <v>1.2895795966815515</v>
      </c>
      <c r="BB223">
        <f t="shared" si="244"/>
        <v>0.68337437593666261</v>
      </c>
      <c r="BC223" s="41" t="str">
        <f t="shared" si="245"/>
        <v>-0.549209226427568+0.70848127085904i</v>
      </c>
      <c r="BD223">
        <f t="shared" si="246"/>
        <v>-0.94972780167653192</v>
      </c>
      <c r="BE223" s="43">
        <f t="shared" si="247"/>
        <v>127.78256724113751</v>
      </c>
      <c r="BF223" s="41" t="str">
        <f t="shared" si="248"/>
        <v>3.30410478124858+8.25942546903177i</v>
      </c>
      <c r="BG223" s="20">
        <f t="shared" si="249"/>
        <v>18.983698002503726</v>
      </c>
      <c r="BH223" s="43">
        <f t="shared" si="250"/>
        <v>68.196589608903835</v>
      </c>
      <c r="BI223" s="41" t="str">
        <f t="shared" si="203"/>
        <v>9.91547192180994+36.5090040628123i</v>
      </c>
      <c r="BJ223" s="20">
        <f t="shared" si="251"/>
        <v>31.557075984385364</v>
      </c>
      <c r="BK223" s="43">
        <f t="shared" si="204"/>
        <v>74.805560985700382</v>
      </c>
      <c r="BL223">
        <f t="shared" si="252"/>
        <v>18.983698002503726</v>
      </c>
      <c r="BM223" s="43">
        <f t="shared" si="253"/>
        <v>68.196589608903835</v>
      </c>
    </row>
    <row r="224" spans="14:65" x14ac:dyDescent="0.25">
      <c r="N224" s="9">
        <v>6</v>
      </c>
      <c r="O224" s="34">
        <f t="shared" si="254"/>
        <v>1148.1536214968839</v>
      </c>
      <c r="P224" s="33" t="str">
        <f t="shared" si="206"/>
        <v>19.6196196196196</v>
      </c>
      <c r="Q224" s="4" t="str">
        <f t="shared" si="207"/>
        <v>1+1.74621460866892i</v>
      </c>
      <c r="R224" s="4">
        <f t="shared" si="219"/>
        <v>2.0122786734269065</v>
      </c>
      <c r="S224" s="4">
        <f t="shared" si="220"/>
        <v>1.0507169022997864</v>
      </c>
      <c r="T224" s="4" t="str">
        <f t="shared" si="208"/>
        <v>1+0.0271248729883031i</v>
      </c>
      <c r="U224" s="4">
        <f t="shared" si="221"/>
        <v>1.0003678117245833</v>
      </c>
      <c r="V224" s="4">
        <f t="shared" si="222"/>
        <v>2.711822346944567E-2</v>
      </c>
      <c r="W224" t="str">
        <f t="shared" si="209"/>
        <v>1-0.0157807605483812i</v>
      </c>
      <c r="X224" s="4">
        <f t="shared" si="223"/>
        <v>1.0001245084505657</v>
      </c>
      <c r="Y224" s="4">
        <f t="shared" si="224"/>
        <v>-1.5779450770505847E-2</v>
      </c>
      <c r="Z224" t="str">
        <f t="shared" si="210"/>
        <v>0.999998681743261+0.0105634478772837i</v>
      </c>
      <c r="AA224" s="4">
        <f t="shared" si="225"/>
        <v>1.0000544734759782</v>
      </c>
      <c r="AB224" s="4">
        <f t="shared" si="226"/>
        <v>1.0563068914906066E-2</v>
      </c>
      <c r="AC224" s="47" t="str">
        <f t="shared" si="227"/>
        <v>4.85391536418041-8.4607522425924i</v>
      </c>
      <c r="AD224" s="20">
        <f t="shared" si="228"/>
        <v>19.783851619473776</v>
      </c>
      <c r="AE224" s="43">
        <f t="shared" si="229"/>
        <v>-60.157199411859978</v>
      </c>
      <c r="AF224" t="str">
        <f t="shared" si="211"/>
        <v>72.2956529813786</v>
      </c>
      <c r="AG224" t="str">
        <f t="shared" si="212"/>
        <v>1+1.42405583188592i</v>
      </c>
      <c r="AH224">
        <f t="shared" si="230"/>
        <v>1.7400962652475005</v>
      </c>
      <c r="AI224">
        <f t="shared" si="231"/>
        <v>0.95858221162404522</v>
      </c>
      <c r="AJ224" t="str">
        <f t="shared" si="213"/>
        <v>1+0.0271248729883031i</v>
      </c>
      <c r="AK224">
        <f t="shared" si="232"/>
        <v>1.0003678117245833</v>
      </c>
      <c r="AL224">
        <f t="shared" si="233"/>
        <v>2.711822346944567E-2</v>
      </c>
      <c r="AM224" t="str">
        <f t="shared" si="214"/>
        <v>1-0.0034924927311067i</v>
      </c>
      <c r="AN224">
        <f t="shared" si="234"/>
        <v>1.000006098734141</v>
      </c>
      <c r="AO224">
        <f t="shared" si="235"/>
        <v>-3.4924785313108827E-3</v>
      </c>
      <c r="AP224" s="41" t="str">
        <f t="shared" si="236"/>
        <v>24.6820116776774-33.4400443100746i</v>
      </c>
      <c r="AQ224">
        <f t="shared" si="237"/>
        <v>32.374025352824816</v>
      </c>
      <c r="AR224" s="43">
        <f t="shared" si="238"/>
        <v>-53.569059569566399</v>
      </c>
      <c r="AS224" t="str">
        <f t="shared" si="215"/>
        <v>-0.0000166666666666667</v>
      </c>
      <c r="AT224" t="str">
        <f t="shared" si="216"/>
        <v>0.0000245278106809125i</v>
      </c>
      <c r="AU224">
        <f t="shared" si="239"/>
        <v>2.45278106809125E-5</v>
      </c>
      <c r="AV224">
        <f t="shared" si="240"/>
        <v>1.5707963267948966</v>
      </c>
      <c r="AW224" t="str">
        <f t="shared" si="217"/>
        <v>1+0.0245065928516037i</v>
      </c>
      <c r="AX224">
        <f t="shared" si="241"/>
        <v>1.0003002414741258</v>
      </c>
      <c r="AY224">
        <f t="shared" si="242"/>
        <v>2.4501688618601827E-2</v>
      </c>
      <c r="AZ224" t="str">
        <f t="shared" si="218"/>
        <v>1+0.833224156954526i</v>
      </c>
      <c r="BA224">
        <f t="shared" si="243"/>
        <v>1.3016383890054029</v>
      </c>
      <c r="BB224">
        <f t="shared" si="244"/>
        <v>0.69467384077577854</v>
      </c>
      <c r="BC224" s="41" t="str">
        <f t="shared" si="245"/>
        <v>-0.549194390079673+0.692959670542365i</v>
      </c>
      <c r="BD224">
        <f t="shared" si="246"/>
        <v>-1.0690012147150443</v>
      </c>
      <c r="BE224" s="43">
        <f t="shared" si="247"/>
        <v>128.3980358658055</v>
      </c>
      <c r="BF224" s="41" t="str">
        <f t="shared" si="248"/>
        <v>3.19721699863799+8.01016525908874i</v>
      </c>
      <c r="BG224" s="20">
        <f t="shared" si="249"/>
        <v>18.714850404758732</v>
      </c>
      <c r="BH224" s="43">
        <f t="shared" si="250"/>
        <v>68.240836453945548</v>
      </c>
      <c r="BI224" s="41" t="str">
        <f t="shared" si="203"/>
        <v>9.61737973876997+35.4687234195948i</v>
      </c>
      <c r="BJ224" s="20">
        <f t="shared" si="251"/>
        <v>31.305024138109772</v>
      </c>
      <c r="BK224" s="43">
        <f t="shared" si="204"/>
        <v>74.828976296239119</v>
      </c>
      <c r="BL224">
        <f t="shared" si="252"/>
        <v>18.714850404758732</v>
      </c>
      <c r="BM224" s="43">
        <f t="shared" si="253"/>
        <v>68.240836453945548</v>
      </c>
    </row>
    <row r="225" spans="14:65" x14ac:dyDescent="0.25">
      <c r="N225" s="9">
        <v>7</v>
      </c>
      <c r="O225" s="34">
        <f t="shared" si="254"/>
        <v>1174.8975549395295</v>
      </c>
      <c r="P225" s="33" t="str">
        <f t="shared" si="206"/>
        <v>19.6196196196196</v>
      </c>
      <c r="Q225" s="4" t="str">
        <f t="shared" si="207"/>
        <v>1+1.78688917206918i</v>
      </c>
      <c r="R225" s="4">
        <f t="shared" si="219"/>
        <v>2.0476750018638405</v>
      </c>
      <c r="S225" s="4">
        <f t="shared" si="220"/>
        <v>1.0605883488966346</v>
      </c>
      <c r="T225" s="4" t="str">
        <f t="shared" si="208"/>
        <v>1+0.0277566924454361i</v>
      </c>
      <c r="U225" s="4">
        <f t="shared" si="221"/>
        <v>1.0003851428202593</v>
      </c>
      <c r="V225" s="4">
        <f t="shared" si="222"/>
        <v>2.7749567505754327E-2</v>
      </c>
      <c r="W225" t="str">
        <f t="shared" si="209"/>
        <v>1-0.016148341682019i</v>
      </c>
      <c r="X225" s="4">
        <f t="shared" si="223"/>
        <v>1.0001303759705928</v>
      </c>
      <c r="Y225" s="4">
        <f t="shared" si="224"/>
        <v>-1.6146938239620864E-2</v>
      </c>
      <c r="Z225" t="str">
        <f t="shared" si="210"/>
        <v>0.999998619615735+0.0108095021871474i</v>
      </c>
      <c r="AA225" s="4">
        <f t="shared" si="225"/>
        <v>1.0000570406586362</v>
      </c>
      <c r="AB225" s="4">
        <f t="shared" si="226"/>
        <v>1.0809096122894506E-2</v>
      </c>
      <c r="AC225" s="47" t="str">
        <f t="shared" si="227"/>
        <v>4.6879486203261-8.36126867374874i</v>
      </c>
      <c r="AD225" s="20">
        <f t="shared" si="228"/>
        <v>19.632572680776772</v>
      </c>
      <c r="AE225" s="43">
        <f t="shared" si="229"/>
        <v>-60.72177009251422</v>
      </c>
      <c r="AF225" t="str">
        <f t="shared" si="211"/>
        <v>72.2956529813786</v>
      </c>
      <c r="AG225" t="str">
        <f t="shared" si="212"/>
        <v>1+1.4572263533854i</v>
      </c>
      <c r="AH225">
        <f t="shared" si="230"/>
        <v>1.7673450837346141</v>
      </c>
      <c r="AI225">
        <f t="shared" si="231"/>
        <v>0.96936835253076648</v>
      </c>
      <c r="AJ225" t="str">
        <f t="shared" si="213"/>
        <v>1+0.0277566924454361i</v>
      </c>
      <c r="AK225">
        <f t="shared" si="232"/>
        <v>1.0003851428202593</v>
      </c>
      <c r="AL225">
        <f t="shared" si="233"/>
        <v>2.7749567505754327E-2</v>
      </c>
      <c r="AM225" t="str">
        <f t="shared" si="214"/>
        <v>1-0.00357384333733296i</v>
      </c>
      <c r="AN225">
        <f t="shared" si="234"/>
        <v>1.0000063861577084</v>
      </c>
      <c r="AO225">
        <f t="shared" si="235"/>
        <v>-3.573828121982859E-3</v>
      </c>
      <c r="AP225" s="41" t="str">
        <f t="shared" si="236"/>
        <v>23.9636010577321-33.1720761161209i</v>
      </c>
      <c r="AQ225">
        <f t="shared" si="237"/>
        <v>32.239216703716885</v>
      </c>
      <c r="AR225" s="43">
        <f t="shared" si="238"/>
        <v>-54.155547560264267</v>
      </c>
      <c r="AS225" t="str">
        <f t="shared" si="215"/>
        <v>-0.0000166666666666667</v>
      </c>
      <c r="AT225" t="str">
        <f t="shared" si="216"/>
        <v>0.0000250991367857667i</v>
      </c>
      <c r="AU225">
        <f t="shared" si="239"/>
        <v>2.5099136785766699E-5</v>
      </c>
      <c r="AV225">
        <f t="shared" si="240"/>
        <v>1.5707963267948966</v>
      </c>
      <c r="AW225" t="str">
        <f t="shared" si="217"/>
        <v>1+0.0250774247297237i</v>
      </c>
      <c r="AX225">
        <f t="shared" si="241"/>
        <v>1.0003143891952544</v>
      </c>
      <c r="AY225">
        <f t="shared" si="242"/>
        <v>2.5072169838581231E-2</v>
      </c>
      <c r="AZ225" t="str">
        <f t="shared" si="218"/>
        <v>1+0.852632440810604i</v>
      </c>
      <c r="BA225">
        <f t="shared" si="243"/>
        <v>1.3141469016524172</v>
      </c>
      <c r="BB225">
        <f t="shared" si="244"/>
        <v>0.70602034789551571</v>
      </c>
      <c r="BC225" s="41" t="str">
        <f t="shared" si="245"/>
        <v>-0.549178855375354+0.677805452357101i</v>
      </c>
      <c r="BD225">
        <f t="shared" si="246"/>
        <v>-1.1860527271549939</v>
      </c>
      <c r="BE225" s="43">
        <f t="shared" si="247"/>
        <v>129.01545666978521</v>
      </c>
      <c r="BF225" s="41" t="str">
        <f t="shared" si="248"/>
        <v>3.09279123832036+7.76934909496212i</v>
      </c>
      <c r="BG225" s="20">
        <f t="shared" si="249"/>
        <v>18.446519953621781</v>
      </c>
      <c r="BH225" s="43">
        <f t="shared" si="250"/>
        <v>68.293686577271032</v>
      </c>
      <c r="BI225" s="41" t="str">
        <f t="shared" si="203"/>
        <v>9.32391105795457+34.4600622469166i</v>
      </c>
      <c r="BJ225" s="20">
        <f t="shared" si="251"/>
        <v>31.053163976561894</v>
      </c>
      <c r="BK225" s="43">
        <f t="shared" si="204"/>
        <v>74.859909109520956</v>
      </c>
      <c r="BL225">
        <f t="shared" si="252"/>
        <v>18.446519953621781</v>
      </c>
      <c r="BM225" s="43">
        <f t="shared" si="253"/>
        <v>68.293686577271032</v>
      </c>
    </row>
    <row r="226" spans="14:65" x14ac:dyDescent="0.25">
      <c r="N226" s="9">
        <v>8</v>
      </c>
      <c r="O226" s="34">
        <f t="shared" si="254"/>
        <v>1202.2644346174138</v>
      </c>
      <c r="P226" s="33" t="str">
        <f t="shared" si="206"/>
        <v>19.6196196196196</v>
      </c>
      <c r="Q226" s="4" t="str">
        <f t="shared" si="207"/>
        <v>1+1.82851116776075i</v>
      </c>
      <c r="R226" s="4">
        <f t="shared" si="219"/>
        <v>2.0840952690857923</v>
      </c>
      <c r="S226" s="4">
        <f t="shared" si="220"/>
        <v>1.0703416400588426</v>
      </c>
      <c r="T226" s="4" t="str">
        <f t="shared" si="208"/>
        <v>1+0.028403228868307i</v>
      </c>
      <c r="U226" s="4">
        <f t="shared" si="221"/>
        <v>1.0004032903835061</v>
      </c>
      <c r="V226" s="4">
        <f t="shared" si="222"/>
        <v>2.8395594524101769E-2</v>
      </c>
      <c r="W226" t="str">
        <f t="shared" si="209"/>
        <v>1-0.0165244848801653i</v>
      </c>
      <c r="X226" s="4">
        <f t="shared" si="223"/>
        <v>1.0001365199814247</v>
      </c>
      <c r="Y226" s="4">
        <f t="shared" si="224"/>
        <v>-1.6522981075628249E-2</v>
      </c>
      <c r="Z226" t="str">
        <f t="shared" si="210"/>
        <v>0.999998554560229+0.0110612878381515i</v>
      </c>
      <c r="AA226" s="4">
        <f t="shared" si="225"/>
        <v>1.0000597288218267</v>
      </c>
      <c r="AB226" s="4">
        <f t="shared" si="226"/>
        <v>1.1060852733868653E-2</v>
      </c>
      <c r="AC226" s="47" t="str">
        <f t="shared" si="227"/>
        <v>4.52593084861504-8.25978102010444i</v>
      </c>
      <c r="AD226" s="20">
        <f t="shared" si="228"/>
        <v>19.479629471449577</v>
      </c>
      <c r="AE226" s="43">
        <f t="shared" si="229"/>
        <v>-61.279548149561002</v>
      </c>
      <c r="AF226" t="str">
        <f t="shared" si="211"/>
        <v>72.2956529813786</v>
      </c>
      <c r="AG226" t="str">
        <f t="shared" si="212"/>
        <v>1+1.49116951558612i</v>
      </c>
      <c r="AH226">
        <f t="shared" si="230"/>
        <v>1.7954349122742779</v>
      </c>
      <c r="AI226">
        <f t="shared" si="231"/>
        <v>0.98006553885035674</v>
      </c>
      <c r="AJ226" t="str">
        <f t="shared" si="213"/>
        <v>1+0.028403228868307i</v>
      </c>
      <c r="AK226">
        <f t="shared" si="232"/>
        <v>1.0004032903835061</v>
      </c>
      <c r="AL226">
        <f t="shared" si="233"/>
        <v>2.8395594524101769E-2</v>
      </c>
      <c r="AM226" t="str">
        <f t="shared" si="214"/>
        <v>1-0.00365708884260208i</v>
      </c>
      <c r="AN226">
        <f t="shared" si="234"/>
        <v>1.0000066871270425</v>
      </c>
      <c r="AO226">
        <f t="shared" si="235"/>
        <v>-3.657072539066599E-3</v>
      </c>
      <c r="AP226" s="41" t="str">
        <f t="shared" si="236"/>
        <v>23.2569907606692-32.891077294651i</v>
      </c>
      <c r="AQ226">
        <f t="shared" si="237"/>
        <v>32.10241069048022</v>
      </c>
      <c r="AR226" s="43">
        <f t="shared" si="238"/>
        <v>-54.736206121206145</v>
      </c>
      <c r="AS226" t="str">
        <f t="shared" si="215"/>
        <v>-0.0000166666666666667</v>
      </c>
      <c r="AT226" t="str">
        <f t="shared" si="216"/>
        <v>0.0000256837707851712i</v>
      </c>
      <c r="AU226">
        <f t="shared" si="239"/>
        <v>2.5683770785171201E-5</v>
      </c>
      <c r="AV226">
        <f t="shared" si="240"/>
        <v>1.5707963267948966</v>
      </c>
      <c r="AW226" t="str">
        <f t="shared" si="217"/>
        <v>1+0.0256615529903744i</v>
      </c>
      <c r="AX226">
        <f t="shared" si="241"/>
        <v>1.0003292034634788</v>
      </c>
      <c r="AY226">
        <f t="shared" si="242"/>
        <v>2.5655922373144222E-2</v>
      </c>
      <c r="AZ226" t="str">
        <f t="shared" si="218"/>
        <v>1+0.872492801672728i</v>
      </c>
      <c r="BA226">
        <f t="shared" si="243"/>
        <v>1.3271185662821263</v>
      </c>
      <c r="BB226">
        <f t="shared" si="244"/>
        <v>0.71740822788717218</v>
      </c>
      <c r="BC226" s="41" t="str">
        <f t="shared" si="245"/>
        <v>-0.549162589484894+0.663010578889153i</v>
      </c>
      <c r="BD226">
        <f t="shared" si="246"/>
        <v>-1.3008651708547514</v>
      </c>
      <c r="BE226" s="43">
        <f t="shared" si="247"/>
        <v>129.63448757439812</v>
      </c>
      <c r="BF226" s="41" t="str">
        <f t="shared" si="248"/>
        <v>2.99085029098208+7.53670276553127i</v>
      </c>
      <c r="BG226" s="20">
        <f t="shared" si="249"/>
        <v>18.178764300594828</v>
      </c>
      <c r="BH226" s="43">
        <f t="shared" si="250"/>
        <v>68.354939424837127</v>
      </c>
      <c r="BI226" s="41" t="str">
        <f t="shared" si="203"/>
        <v>9.03526292765908+33.4821800855293i</v>
      </c>
      <c r="BJ226" s="20">
        <f t="shared" si="251"/>
        <v>30.801545519625467</v>
      </c>
      <c r="BK226" s="43">
        <f t="shared" si="204"/>
        <v>74.89828145319197</v>
      </c>
      <c r="BL226">
        <f t="shared" si="252"/>
        <v>18.178764300594828</v>
      </c>
      <c r="BM226" s="43">
        <f t="shared" si="253"/>
        <v>68.354939424837127</v>
      </c>
    </row>
    <row r="227" spans="14:65" x14ac:dyDescent="0.25">
      <c r="N227" s="9">
        <v>9</v>
      </c>
      <c r="O227" s="34">
        <f t="shared" si="254"/>
        <v>1230.2687708123824</v>
      </c>
      <c r="P227" s="33" t="str">
        <f t="shared" si="206"/>
        <v>19.6196196196196</v>
      </c>
      <c r="Q227" s="4" t="str">
        <f t="shared" si="207"/>
        <v>1+1.87110266427668i</v>
      </c>
      <c r="R227" s="4">
        <f t="shared" si="219"/>
        <v>2.1215619671042583</v>
      </c>
      <c r="S227" s="4">
        <f t="shared" si="220"/>
        <v>1.0799745239916925</v>
      </c>
      <c r="T227" s="4" t="str">
        <f t="shared" si="208"/>
        <v>1+0.0290648250590849i</v>
      </c>
      <c r="U227" s="4">
        <f t="shared" si="221"/>
        <v>1.0004222928622268</v>
      </c>
      <c r="V227" s="4">
        <f t="shared" si="222"/>
        <v>2.9056644898369705E-2</v>
      </c>
      <c r="W227" t="str">
        <f t="shared" si="209"/>
        <v>1-0.0169093895789224i</v>
      </c>
      <c r="X227" s="4">
        <f t="shared" si="223"/>
        <v>1.0001429535101127</v>
      </c>
      <c r="Y227" s="4">
        <f t="shared" si="224"/>
        <v>-1.6907778235768497E-2</v>
      </c>
      <c r="Z227" t="str">
        <f t="shared" si="210"/>
        <v>0.999998486438752+0.0113189383303807i</v>
      </c>
      <c r="AA227" s="4">
        <f t="shared" si="225"/>
        <v>1.0000625436665056</v>
      </c>
      <c r="AB227" s="4">
        <f t="shared" si="226"/>
        <v>1.1318472109316344E-2</v>
      </c>
      <c r="AC227" s="47" t="str">
        <f t="shared" si="227"/>
        <v>4.36788839020093-8.15646739025537i</v>
      </c>
      <c r="AD227" s="20">
        <f t="shared" si="228"/>
        <v>19.325062811452757</v>
      </c>
      <c r="AE227" s="43">
        <f t="shared" si="229"/>
        <v>-61.830404103140204</v>
      </c>
      <c r="AF227" t="str">
        <f t="shared" si="211"/>
        <v>72.2956529813786</v>
      </c>
      <c r="AG227" t="str">
        <f t="shared" si="212"/>
        <v>1+1.52590331560196i</v>
      </c>
      <c r="AH227">
        <f t="shared" si="230"/>
        <v>1.8243850823126828</v>
      </c>
      <c r="AI227">
        <f t="shared" si="231"/>
        <v>0.99066964973637051</v>
      </c>
      <c r="AJ227" t="str">
        <f t="shared" si="213"/>
        <v>1+0.0290648250590849i</v>
      </c>
      <c r="AK227">
        <f t="shared" si="232"/>
        <v>1.0004222928622268</v>
      </c>
      <c r="AL227">
        <f t="shared" si="233"/>
        <v>2.9056644898369705E-2</v>
      </c>
      <c r="AM227" t="str">
        <f t="shared" si="214"/>
        <v>1-0.00374227338478284i</v>
      </c>
      <c r="AN227">
        <f t="shared" si="234"/>
        <v>1.0000070022805272</v>
      </c>
      <c r="AO227">
        <f t="shared" si="235"/>
        <v>-3.7422559152364356E-3</v>
      </c>
      <c r="AP227" s="41" t="str">
        <f t="shared" si="236"/>
        <v>22.5626228387208-32.5976705898322i</v>
      </c>
      <c r="AQ227">
        <f t="shared" si="237"/>
        <v>31.9636414804758</v>
      </c>
      <c r="AR227" s="43">
        <f t="shared" si="238"/>
        <v>-55.310782171911569</v>
      </c>
      <c r="AS227" t="str">
        <f t="shared" si="215"/>
        <v>-0.0000166666666666667</v>
      </c>
      <c r="AT227" t="str">
        <f t="shared" si="216"/>
        <v>0.0000262820226598109i</v>
      </c>
      <c r="AU227">
        <f t="shared" si="239"/>
        <v>2.62820226598109E-5</v>
      </c>
      <c r="AV227">
        <f t="shared" si="240"/>
        <v>1.5707963267948966</v>
      </c>
      <c r="AW227" t="str">
        <f t="shared" si="217"/>
        <v>1+0.0262592873460913i</v>
      </c>
      <c r="AX227">
        <f t="shared" si="241"/>
        <v>1.0003447156715153</v>
      </c>
      <c r="AY227">
        <f t="shared" si="242"/>
        <v>2.6253254143310898E-2</v>
      </c>
      <c r="AZ227" t="str">
        <f t="shared" si="218"/>
        <v>1+0.892815769767104i</v>
      </c>
      <c r="BA227">
        <f t="shared" si="243"/>
        <v>1.3405670437336681</v>
      </c>
      <c r="BB227">
        <f t="shared" si="244"/>
        <v>0.72883170504077033</v>
      </c>
      <c r="BC227" s="41" t="str">
        <f t="shared" si="245"/>
        <v>-0.549145558039329+0.648567203079135i</v>
      </c>
      <c r="BD227">
        <f t="shared" si="246"/>
        <v>-1.4134235906275341</v>
      </c>
      <c r="BE227" s="43">
        <f t="shared" si="247"/>
        <v>130.25478001326371</v>
      </c>
      <c r="BF227" s="41" t="str">
        <f t="shared" si="248"/>
        <v>2.8914107348137+7.31195699324582i</v>
      </c>
      <c r="BG227" s="20">
        <f t="shared" si="249"/>
        <v>17.911639220825229</v>
      </c>
      <c r="BH227" s="43">
        <f t="shared" si="250"/>
        <v>68.42437591012353</v>
      </c>
      <c r="BI227" s="41" t="str">
        <f t="shared" si="203"/>
        <v>8.7516159317422+32.5342431954742i</v>
      </c>
      <c r="BJ227" s="20">
        <f t="shared" si="251"/>
        <v>30.55021788984827</v>
      </c>
      <c r="BK227" s="43">
        <f t="shared" si="204"/>
        <v>74.943997841352171</v>
      </c>
      <c r="BL227">
        <f t="shared" si="252"/>
        <v>17.911639220825229</v>
      </c>
      <c r="BM227" s="43">
        <f t="shared" si="253"/>
        <v>68.42437591012353</v>
      </c>
    </row>
    <row r="228" spans="14:65" x14ac:dyDescent="0.25">
      <c r="N228" s="9">
        <v>10</v>
      </c>
      <c r="O228" s="34">
        <f t="shared" si="254"/>
        <v>1258.925411794168</v>
      </c>
      <c r="P228" s="33" t="str">
        <f t="shared" si="206"/>
        <v>19.6196196196196</v>
      </c>
      <c r="Q228" s="4" t="str">
        <f t="shared" si="207"/>
        <v>1+1.91468624419217i</v>
      </c>
      <c r="R228" s="4">
        <f t="shared" si="219"/>
        <v>2.1600980102066476</v>
      </c>
      <c r="S228" s="4">
        <f t="shared" si="220"/>
        <v>1.0894849565171996</v>
      </c>
      <c r="T228" s="4" t="str">
        <f t="shared" si="208"/>
        <v>1+0.0297418318048277i</v>
      </c>
      <c r="U228" s="4">
        <f t="shared" si="221"/>
        <v>1.0004421905133283</v>
      </c>
      <c r="V228" s="4">
        <f t="shared" si="222"/>
        <v>2.9733066813927771E-2</v>
      </c>
      <c r="W228" t="str">
        <f t="shared" si="209"/>
        <v>1-0.0173032598598565i</v>
      </c>
      <c r="X228" s="4">
        <f t="shared" si="223"/>
        <v>1.0001496901973113</v>
      </c>
      <c r="Y228" s="4">
        <f t="shared" si="224"/>
        <v>-1.730153328851609E-2</v>
      </c>
      <c r="Z228" t="str">
        <f t="shared" si="210"/>
        <v>0.999998415106808+0.0115825902735366i</v>
      </c>
      <c r="AA228" s="4">
        <f t="shared" si="225"/>
        <v>1.00006549116224</v>
      </c>
      <c r="AB228" s="4">
        <f t="shared" si="226"/>
        <v>1.1582090710432253E-2</v>
      </c>
      <c r="AC228" s="47" t="str">
        <f t="shared" si="227"/>
        <v>4.21383808993902-8.05150330994348i</v>
      </c>
      <c r="AD228" s="20">
        <f t="shared" si="228"/>
        <v>19.168913759370181</v>
      </c>
      <c r="AE228" s="43">
        <f t="shared" si="229"/>
        <v>-62.374220363193501</v>
      </c>
      <c r="AF228" t="str">
        <f t="shared" si="211"/>
        <v>72.2956529813786</v>
      </c>
      <c r="AG228" t="str">
        <f t="shared" si="212"/>
        <v>1+1.56144616975345i</v>
      </c>
      <c r="AH228">
        <f t="shared" si="230"/>
        <v>1.8542152358983894</v>
      </c>
      <c r="AI228">
        <f t="shared" si="231"/>
        <v>1.0011767682954054</v>
      </c>
      <c r="AJ228" t="str">
        <f t="shared" si="213"/>
        <v>1+0.0297418318048277i</v>
      </c>
      <c r="AK228">
        <f t="shared" si="232"/>
        <v>1.0004421905133283</v>
      </c>
      <c r="AL228">
        <f t="shared" si="233"/>
        <v>2.9733066813927771E-2</v>
      </c>
      <c r="AM228" t="str">
        <f t="shared" si="214"/>
        <v>1-0.00382944212984706i</v>
      </c>
      <c r="AN228">
        <f t="shared" si="234"/>
        <v>1.0000073322866316</v>
      </c>
      <c r="AO228">
        <f t="shared" si="235"/>
        <v>-3.8294234108982466E-3</v>
      </c>
      <c r="AP228" s="41" t="str">
        <f t="shared" si="236"/>
        <v>21.8808986711551-32.2924922889778i</v>
      </c>
      <c r="AQ228">
        <f t="shared" si="237"/>
        <v>31.822944443429559</v>
      </c>
      <c r="AR228" s="43">
        <f t="shared" si="238"/>
        <v>-55.879033928868331</v>
      </c>
      <c r="AS228" t="str">
        <f t="shared" si="215"/>
        <v>-0.0000166666666666667</v>
      </c>
      <c r="AT228" t="str">
        <f t="shared" si="216"/>
        <v>0.0000268942096107484i</v>
      </c>
      <c r="AU228">
        <f t="shared" si="239"/>
        <v>2.6894209610748399E-5</v>
      </c>
      <c r="AV228">
        <f t="shared" si="240"/>
        <v>1.5707963267948966</v>
      </c>
      <c r="AW228" t="str">
        <f t="shared" si="217"/>
        <v>1+0.0268709447235419i</v>
      </c>
      <c r="AX228">
        <f t="shared" si="241"/>
        <v>1.0003609586895801</v>
      </c>
      <c r="AY228">
        <f t="shared" si="242"/>
        <v>2.6864480156267207E-2</v>
      </c>
      <c r="AZ228" t="str">
        <f t="shared" si="218"/>
        <v>1+0.913612120600425i</v>
      </c>
      <c r="BA228">
        <f t="shared" si="243"/>
        <v>1.3545062225431101</v>
      </c>
      <c r="BB228">
        <f t="shared" si="244"/>
        <v>0.74028491143734265</v>
      </c>
      <c r="BC228" s="41" t="str">
        <f t="shared" si="245"/>
        <v>-0.549127725058695+0.6344676640493i</v>
      </c>
      <c r="BD228">
        <f t="shared" si="246"/>
        <v>-1.5237153072331697</v>
      </c>
      <c r="BE228" s="43">
        <f t="shared" si="247"/>
        <v>130.87597973080864</v>
      </c>
      <c r="BF228" s="41" t="str">
        <f t="shared" si="248"/>
        <v>2.79448317305116+7.09484770549739i</v>
      </c>
      <c r="BG228" s="20">
        <f t="shared" si="249"/>
        <v>17.645198452137013</v>
      </c>
      <c r="BH228" s="43">
        <f t="shared" si="250"/>
        <v>68.501759367615122</v>
      </c>
      <c r="BI228" s="41" t="str">
        <f t="shared" si="203"/>
        <v>8.47313403938655+31.615425494309i</v>
      </c>
      <c r="BJ228" s="20">
        <f t="shared" si="251"/>
        <v>30.299229136196377</v>
      </c>
      <c r="BK228" s="43">
        <f t="shared" si="204"/>
        <v>74.996945801940313</v>
      </c>
      <c r="BL228">
        <f t="shared" si="252"/>
        <v>17.645198452137013</v>
      </c>
      <c r="BM228" s="43">
        <f t="shared" si="253"/>
        <v>68.501759367615122</v>
      </c>
    </row>
    <row r="229" spans="14:65" x14ac:dyDescent="0.25">
      <c r="N229" s="9">
        <v>11</v>
      </c>
      <c r="O229" s="34">
        <f t="shared" si="254"/>
        <v>1288.2495516931347</v>
      </c>
      <c r="P229" s="33" t="str">
        <f t="shared" si="206"/>
        <v>19.6196196196196</v>
      </c>
      <c r="Q229" s="4" t="str">
        <f t="shared" si="207"/>
        <v>1+1.95928501609821i</v>
      </c>
      <c r="R229" s="4">
        <f t="shared" si="219"/>
        <v>2.19972674991849</v>
      </c>
      <c r="S229" s="4">
        <f t="shared" si="220"/>
        <v>1.0988710977308498</v>
      </c>
      <c r="T229" s="4" t="str">
        <f t="shared" si="208"/>
        <v>1+0.030434608063473i</v>
      </c>
      <c r="U229" s="4">
        <f t="shared" si="221"/>
        <v>1.0004630254876874</v>
      </c>
      <c r="V229" s="4">
        <f t="shared" si="222"/>
        <v>3.0425216441255658E-2</v>
      </c>
      <c r="W229" t="str">
        <f t="shared" si="209"/>
        <v>1-0.017706304558204i</v>
      </c>
      <c r="X229" s="4">
        <f t="shared" si="223"/>
        <v>1.0001567443261621</v>
      </c>
      <c r="Y229" s="4">
        <f t="shared" si="224"/>
        <v>-1.7704454519339864E-2</v>
      </c>
      <c r="Z229" t="str">
        <f t="shared" si="210"/>
        <v>0.999998340413093+0.0118523834593692i</v>
      </c>
      <c r="AA229" s="4">
        <f t="shared" si="225"/>
        <v>1.0000685775598632</v>
      </c>
      <c r="AB229" s="4">
        <f t="shared" si="226"/>
        <v>1.185184816984087E-2</v>
      </c>
      <c r="AC229" s="47" t="str">
        <f t="shared" si="227"/>
        <v>4.06378770384904-7.94506120441939i</v>
      </c>
      <c r="AD229" s="20">
        <f t="shared" si="228"/>
        <v>19.011223518478378</v>
      </c>
      <c r="AE229" s="43">
        <f t="shared" si="229"/>
        <v>-62.910891038130721</v>
      </c>
      <c r="AF229" t="str">
        <f t="shared" si="211"/>
        <v>72.2956529813786</v>
      </c>
      <c r="AG229" t="str">
        <f t="shared" si="212"/>
        <v>1+1.59781692333233i</v>
      </c>
      <c r="AH229">
        <f t="shared" si="230"/>
        <v>1.8849453362066479</v>
      </c>
      <c r="AI229">
        <f t="shared" si="231"/>
        <v>1.0115831854850081</v>
      </c>
      <c r="AJ229" t="str">
        <f t="shared" si="213"/>
        <v>1+0.030434608063473i</v>
      </c>
      <c r="AK229">
        <f t="shared" si="232"/>
        <v>1.0004630254876874</v>
      </c>
      <c r="AL229">
        <f t="shared" si="233"/>
        <v>3.0425216441255658E-2</v>
      </c>
      <c r="AM229" t="str">
        <f t="shared" si="214"/>
        <v>1-0.00391864129581718i</v>
      </c>
      <c r="AN229">
        <f t="shared" si="234"/>
        <v>1.000007677845328</v>
      </c>
      <c r="AO229">
        <f t="shared" si="235"/>
        <v>-3.9186212381104703E-3</v>
      </c>
      <c r="AP229" s="41" t="str">
        <f t="shared" si="236"/>
        <v>21.2121788517127-31.9761892181185i</v>
      </c>
      <c r="AQ229">
        <f t="shared" si="237"/>
        <v>31.680356037538221</v>
      </c>
      <c r="AR229" s="43">
        <f t="shared" si="238"/>
        <v>-56.440731120288561</v>
      </c>
      <c r="AS229" t="str">
        <f t="shared" si="215"/>
        <v>-0.0000166666666666667</v>
      </c>
      <c r="AT229" t="str">
        <f t="shared" si="216"/>
        <v>0.0000275206562276086i</v>
      </c>
      <c r="AU229">
        <f t="shared" si="239"/>
        <v>2.75206562276086E-5</v>
      </c>
      <c r="AV229">
        <f t="shared" si="240"/>
        <v>1.5707963267948966</v>
      </c>
      <c r="AW229" t="str">
        <f t="shared" si="217"/>
        <v>1+0.027496849431564i</v>
      </c>
      <c r="AX229">
        <f t="shared" si="241"/>
        <v>1.0003779669348292</v>
      </c>
      <c r="AY229">
        <f t="shared" si="242"/>
        <v>2.7489922664270871E-2</v>
      </c>
      <c r="AZ229" t="str">
        <f t="shared" si="218"/>
        <v>1+0.934892880673173i</v>
      </c>
      <c r="BA229">
        <f t="shared" si="243"/>
        <v>1.3689502176242143</v>
      </c>
      <c r="BB229">
        <f t="shared" si="244"/>
        <v>0.75176190161735612</v>
      </c>
      <c r="BC229" s="41" t="str">
        <f t="shared" si="245"/>
        <v>-0.54910905287691+0.620704483028305i</v>
      </c>
      <c r="BD229">
        <f t="shared" si="246"/>
        <v>-1.6317299716238753</v>
      </c>
      <c r="BE229" s="43">
        <f t="shared" si="247"/>
        <v>131.49772761359978</v>
      </c>
      <c r="BF229" s="41" t="str">
        <f t="shared" si="248"/>
        <v>2.700072490364+6.88511627886222i</v>
      </c>
      <c r="BG229" s="20">
        <f t="shared" si="249"/>
        <v>17.379493546854508</v>
      </c>
      <c r="BH229" s="43">
        <f t="shared" si="250"/>
        <v>68.586836575469107</v>
      </c>
      <c r="BI229" s="41" t="str">
        <f t="shared" si="203"/>
        <v>8.19996455912792+30.7249094842302i</v>
      </c>
      <c r="BJ229" s="20">
        <f t="shared" si="251"/>
        <v>30.048626065914348</v>
      </c>
      <c r="BK229" s="43">
        <f t="shared" si="204"/>
        <v>75.056996493311246</v>
      </c>
      <c r="BL229">
        <f t="shared" si="252"/>
        <v>17.379493546854508</v>
      </c>
      <c r="BM229" s="43">
        <f t="shared" si="253"/>
        <v>68.586836575469107</v>
      </c>
    </row>
    <row r="230" spans="14:65" x14ac:dyDescent="0.25">
      <c r="N230" s="9">
        <v>12</v>
      </c>
      <c r="O230" s="34">
        <f t="shared" si="254"/>
        <v>1318.2567385564089</v>
      </c>
      <c r="P230" s="33" t="str">
        <f t="shared" si="206"/>
        <v>19.6196196196196</v>
      </c>
      <c r="Q230" s="4" t="str">
        <f t="shared" si="207"/>
        <v>1+2.00492262685398i</v>
      </c>
      <c r="R230" s="4">
        <f t="shared" si="219"/>
        <v>2.2404719903786039</v>
      </c>
      <c r="S230" s="4">
        <f t="shared" si="220"/>
        <v>1.1081313080779116</v>
      </c>
      <c r="T230" s="4" t="str">
        <f t="shared" si="208"/>
        <v>1+0.0311435211541633i</v>
      </c>
      <c r="U230" s="4">
        <f t="shared" si="221"/>
        <v>1.0004848419190966</v>
      </c>
      <c r="V230" s="4">
        <f t="shared" si="222"/>
        <v>3.1133458113018923E-2</v>
      </c>
      <c r="W230" t="str">
        <f t="shared" si="209"/>
        <v>1-0.018118737373599i</v>
      </c>
      <c r="X230" s="4">
        <f t="shared" si="223"/>
        <v>1.0001641308525384</v>
      </c>
      <c r="Y230" s="4">
        <f t="shared" si="224"/>
        <v>-1.8116755038809947E-2</v>
      </c>
      <c r="Z230" t="str">
        <f t="shared" si="210"/>
        <v>0.999998262199171+0.0121284609357969i</v>
      </c>
      <c r="AA230" s="4">
        <f t="shared" si="225"/>
        <v>1.0000718094047212</v>
      </c>
      <c r="AB230" s="4">
        <f t="shared" si="226"/>
        <v>1.2127887364957414E-2</v>
      </c>
      <c r="AC230" s="47" t="str">
        <f t="shared" si="227"/>
        <v>3.91773633143998-7.83730992775157i</v>
      </c>
      <c r="AD230" s="20">
        <f t="shared" si="228"/>
        <v>18.852033347144804</v>
      </c>
      <c r="AE230" s="43">
        <f t="shared" si="229"/>
        <v>-63.440321710270425</v>
      </c>
      <c r="AF230" t="str">
        <f t="shared" si="211"/>
        <v>72.2956529813786</v>
      </c>
      <c r="AG230" t="str">
        <f t="shared" si="212"/>
        <v>1+1.63503486059357i</v>
      </c>
      <c r="AH230">
        <f t="shared" si="230"/>
        <v>1.9165956786334033</v>
      </c>
      <c r="AI230">
        <f t="shared" si="231"/>
        <v>1.0218854030487292</v>
      </c>
      <c r="AJ230" t="str">
        <f t="shared" si="213"/>
        <v>1+0.0311435211541633i</v>
      </c>
      <c r="AK230">
        <f t="shared" si="232"/>
        <v>1.0004848419190966</v>
      </c>
      <c r="AL230">
        <f t="shared" si="233"/>
        <v>3.1133458113018923E-2</v>
      </c>
      <c r="AM230" t="str">
        <f t="shared" si="214"/>
        <v>1-0.0040099181772717i</v>
      </c>
      <c r="AN230">
        <f t="shared" si="234"/>
        <v>1.0000080396895759</v>
      </c>
      <c r="AO230">
        <f t="shared" si="235"/>
        <v>-4.0098966850610736E-3</v>
      </c>
      <c r="AP230" s="41" t="str">
        <f t="shared" si="236"/>
        <v>20.5567833196993-31.6494158044249i</v>
      </c>
      <c r="AQ230">
        <f t="shared" si="237"/>
        <v>31.535913695638925</v>
      </c>
      <c r="AR230" s="43">
        <f t="shared" si="238"/>
        <v>-56.995655145531416</v>
      </c>
      <c r="AS230" t="str">
        <f t="shared" si="215"/>
        <v>-0.0000166666666666667</v>
      </c>
      <c r="AT230" t="str">
        <f t="shared" si="216"/>
        <v>0.0000281616946606796i</v>
      </c>
      <c r="AU230">
        <f t="shared" si="239"/>
        <v>2.8161694660679599E-5</v>
      </c>
      <c r="AV230">
        <f t="shared" si="240"/>
        <v>1.5707963267948966</v>
      </c>
      <c r="AW230" t="str">
        <f t="shared" si="217"/>
        <v>1+0.0281373333331185i</v>
      </c>
      <c r="AX230">
        <f t="shared" si="241"/>
        <v>1.0003957764440528</v>
      </c>
      <c r="AY230">
        <f t="shared" si="242"/>
        <v>2.8129911326821151E-2</v>
      </c>
      <c r="AZ230" t="str">
        <f t="shared" si="218"/>
        <v>1+0.956669333326026i</v>
      </c>
      <c r="BA230">
        <f t="shared" si="243"/>
        <v>1.3839133691551879</v>
      </c>
      <c r="BB230">
        <f t="shared" si="244"/>
        <v>0.76325666773859213</v>
      </c>
      <c r="BC230" s="41" t="str">
        <f t="shared" si="245"/>
        <v>-0.549089502063274+0.607270359371611i</v>
      </c>
      <c r="BD230">
        <f t="shared" si="246"/>
        <v>-1.7374596099770232</v>
      </c>
      <c r="BE230" s="43">
        <f t="shared" si="247"/>
        <v>132.11966054953623</v>
      </c>
      <c r="BF230" s="41" t="str">
        <f t="shared" si="248"/>
        <v>2.60817812488681+6.68250975566144i</v>
      </c>
      <c r="BG230" s="20">
        <f t="shared" si="249"/>
        <v>17.114573737167781</v>
      </c>
      <c r="BH230" s="43">
        <f t="shared" si="250"/>
        <v>68.679338839265881</v>
      </c>
      <c r="BI230" s="41" t="str">
        <f t="shared" si="203"/>
        <v>7.93223819241835+29.8618871587233i</v>
      </c>
      <c r="BJ230" s="20">
        <f t="shared" si="251"/>
        <v>29.798454085661895</v>
      </c>
      <c r="BK230" s="43">
        <f t="shared" si="204"/>
        <v>75.124005404004834</v>
      </c>
      <c r="BL230">
        <f t="shared" si="252"/>
        <v>17.114573737167781</v>
      </c>
      <c r="BM230" s="43">
        <f t="shared" si="253"/>
        <v>68.679338839265881</v>
      </c>
    </row>
    <row r="231" spans="14:65" x14ac:dyDescent="0.25">
      <c r="N231" s="9">
        <v>13</v>
      </c>
      <c r="O231" s="34">
        <f t="shared" si="254"/>
        <v>1348.9628825916541</v>
      </c>
      <c r="P231" s="33" t="str">
        <f t="shared" si="206"/>
        <v>19.6196196196196</v>
      </c>
      <c r="Q231" s="4" t="str">
        <f t="shared" si="207"/>
        <v>1+2.0516232741248i</v>
      </c>
      <c r="R231" s="4">
        <f t="shared" si="219"/>
        <v>2.2823580041112228</v>
      </c>
      <c r="S231" s="4">
        <f t="shared" si="220"/>
        <v>1.1172641439047371</v>
      </c>
      <c r="T231" s="4" t="str">
        <f t="shared" si="208"/>
        <v>1+0.0318689469520026i</v>
      </c>
      <c r="U231" s="4">
        <f t="shared" si="221"/>
        <v>1.0005076860173687</v>
      </c>
      <c r="V231" s="4">
        <f t="shared" si="222"/>
        <v>3.1858164504633031E-2</v>
      </c>
      <c r="W231" t="str">
        <f t="shared" si="209"/>
        <v>1-0.0185407769833792i</v>
      </c>
      <c r="X231" s="4">
        <f t="shared" si="223"/>
        <v>1.0001718654367096</v>
      </c>
      <c r="Y231" s="4">
        <f t="shared" si="224"/>
        <v>-1.8538652893095947E-2</v>
      </c>
      <c r="Z231" t="str">
        <f t="shared" si="210"/>
        <v>0.999998180299141+0.0124109690827518i</v>
      </c>
      <c r="AA231" s="4">
        <f t="shared" si="225"/>
        <v>1.0000751935505481</v>
      </c>
      <c r="AB231" s="4">
        <f t="shared" si="226"/>
        <v>1.2410354493019717E-2</v>
      </c>
      <c r="AC231" s="47" t="str">
        <f t="shared" si="227"/>
        <v>3.77567486795029-7.72841433936478i</v>
      </c>
      <c r="AD231" s="20">
        <f t="shared" si="228"/>
        <v>18.691384473783003</v>
      </c>
      <c r="AE231" s="43">
        <f t="shared" si="229"/>
        <v>-63.96242918123324</v>
      </c>
      <c r="AF231" t="str">
        <f t="shared" si="211"/>
        <v>72.2956529813786</v>
      </c>
      <c r="AG231" t="str">
        <f t="shared" si="212"/>
        <v>1+1.67311971498014i</v>
      </c>
      <c r="AH231">
        <f t="shared" si="230"/>
        <v>1.9491869024429711</v>
      </c>
      <c r="AI231">
        <f t="shared" si="231"/>
        <v>1.0320801355133513</v>
      </c>
      <c r="AJ231" t="str">
        <f t="shared" si="213"/>
        <v>1+0.0318689469520026i</v>
      </c>
      <c r="AK231">
        <f t="shared" si="232"/>
        <v>1.0005076860173687</v>
      </c>
      <c r="AL231">
        <f t="shared" si="233"/>
        <v>3.1858164504633031E-2</v>
      </c>
      <c r="AM231" t="str">
        <f t="shared" si="214"/>
        <v>1-0.00410332117042134i</v>
      </c>
      <c r="AN231">
        <f t="shared" si="234"/>
        <v>1.0000084185868776</v>
      </c>
      <c r="AO231">
        <f t="shared" si="235"/>
        <v>-4.1032981411132123E-3</v>
      </c>
      <c r="AP231" s="41" t="str">
        <f t="shared" si="236"/>
        <v>19.9149917211592-31.3128312260216i</v>
      </c>
      <c r="AQ231">
        <f t="shared" si="237"/>
        <v>31.389655712110972</v>
      </c>
      <c r="AR231" s="43">
        <f t="shared" si="238"/>
        <v>-57.543599180625712</v>
      </c>
      <c r="AS231" t="str">
        <f t="shared" si="215"/>
        <v>-0.0000166666666666667</v>
      </c>
      <c r="AT231" t="str">
        <f t="shared" si="216"/>
        <v>0.0000288176647970237i</v>
      </c>
      <c r="AU231">
        <f t="shared" si="239"/>
        <v>2.88176647970237E-5</v>
      </c>
      <c r="AV231">
        <f t="shared" si="240"/>
        <v>1.5707963267948966</v>
      </c>
      <c r="AW231" t="str">
        <f t="shared" si="217"/>
        <v>1+0.0287927360212478i</v>
      </c>
      <c r="AX231">
        <f t="shared" si="241"/>
        <v>1.0004144249497751</v>
      </c>
      <c r="AY231">
        <f t="shared" si="242"/>
        <v>2.8784783376137164E-2</v>
      </c>
      <c r="AZ231" t="str">
        <f t="shared" si="218"/>
        <v>1+0.978953024722423i</v>
      </c>
      <c r="BA231">
        <f t="shared" si="243"/>
        <v>1.3994102417136944</v>
      </c>
      <c r="BB231">
        <f t="shared" si="244"/>
        <v>0.77476315513103489</v>
      </c>
      <c r="BC231" s="41" t="str">
        <f t="shared" si="245"/>
        <v>-0.549069031340286+0.594158166675288i</v>
      </c>
      <c r="BD231">
        <f t="shared" si="246"/>
        <v>-1.8408986591267649</v>
      </c>
      <c r="BE231" s="43">
        <f t="shared" si="247"/>
        <v>132.74141230959677</v>
      </c>
      <c r="BF231" s="41" t="str">
        <f t="shared" si="248"/>
        <v>2.51879435278266+6.4867810326147i</v>
      </c>
      <c r="BG231" s="20">
        <f t="shared" si="249"/>
        <v>16.850485814656238</v>
      </c>
      <c r="BH231" s="43">
        <f t="shared" si="250"/>
        <v>68.778983128363521</v>
      </c>
      <c r="BI231" s="41" t="str">
        <f t="shared" si="203"/>
        <v>7.67006918117901+29.025560880191i</v>
      </c>
      <c r="BJ231" s="20">
        <f t="shared" si="251"/>
        <v>29.5487570529842</v>
      </c>
      <c r="BK231" s="43">
        <f t="shared" si="204"/>
        <v>75.197813128971049</v>
      </c>
      <c r="BL231">
        <f t="shared" si="252"/>
        <v>16.850485814656238</v>
      </c>
      <c r="BM231" s="43">
        <f t="shared" si="253"/>
        <v>68.778983128363521</v>
      </c>
    </row>
    <row r="232" spans="14:65" x14ac:dyDescent="0.25">
      <c r="N232" s="9">
        <v>14</v>
      </c>
      <c r="O232" s="34">
        <f t="shared" si="254"/>
        <v>1380.3842646028863</v>
      </c>
      <c r="P232" s="33" t="str">
        <f t="shared" si="206"/>
        <v>19.6196196196196</v>
      </c>
      <c r="Q232" s="4" t="str">
        <f t="shared" si="207"/>
        <v>1+2.099411719212i</v>
      </c>
      <c r="R232" s="4">
        <f t="shared" si="219"/>
        <v>2.3254095481795645</v>
      </c>
      <c r="S232" s="4">
        <f t="shared" si="220"/>
        <v>1.1262683525403712</v>
      </c>
      <c r="T232" s="4" t="str">
        <f t="shared" si="208"/>
        <v>1+0.0326112700873514i</v>
      </c>
      <c r="U232" s="4">
        <f t="shared" si="221"/>
        <v>1.0005316061657974</v>
      </c>
      <c r="V232" s="4">
        <f t="shared" si="222"/>
        <v>3.2599716818355849E-2</v>
      </c>
      <c r="W232" t="str">
        <f t="shared" si="209"/>
        <v>1-0.0189726471585323i</v>
      </c>
      <c r="X232" s="4">
        <f t="shared" si="223"/>
        <v>1.0001799644764946</v>
      </c>
      <c r="Y232" s="4">
        <f t="shared" si="224"/>
        <v>-1.8970371176905199E-2</v>
      </c>
      <c r="Z232" t="str">
        <f t="shared" si="210"/>
        <v>0.999998094539282+0.012700057689793i</v>
      </c>
      <c r="AA232" s="4">
        <f t="shared" si="225"/>
        <v>1.0000787371739881</v>
      </c>
      <c r="AB232" s="4">
        <f t="shared" si="226"/>
        <v>1.2699399147830068E-2</v>
      </c>
      <c r="AC232" s="47" t="str">
        <f t="shared" si="227"/>
        <v>3.63758647175692-7.61853492760616i</v>
      </c>
      <c r="AD232" s="20">
        <f t="shared" si="228"/>
        <v>18.52931801654719</v>
      </c>
      <c r="AE232" s="43">
        <f t="shared" si="229"/>
        <v>-64.477141190458099</v>
      </c>
      <c r="AF232" t="str">
        <f t="shared" si="211"/>
        <v>72.2956529813786</v>
      </c>
      <c r="AG232" t="str">
        <f t="shared" si="212"/>
        <v>1+1.71209167958595i</v>
      </c>
      <c r="AH232">
        <f t="shared" si="230"/>
        <v>1.9827400029523385</v>
      </c>
      <c r="AI232">
        <f t="shared" si="231"/>
        <v>1.0421643112796397</v>
      </c>
      <c r="AJ232" t="str">
        <f t="shared" si="213"/>
        <v>1+0.0326112700873514i</v>
      </c>
      <c r="AK232">
        <f t="shared" si="232"/>
        <v>1.0005316061657974</v>
      </c>
      <c r="AL232">
        <f t="shared" si="233"/>
        <v>3.2599716818355849E-2</v>
      </c>
      <c r="AM232" t="str">
        <f t="shared" si="214"/>
        <v>1-0.00419889979876942i</v>
      </c>
      <c r="AN232">
        <f t="shared" si="234"/>
        <v>1.000008815340905</v>
      </c>
      <c r="AO232">
        <f t="shared" si="235"/>
        <v>-4.1988751224329235E-3</v>
      </c>
      <c r="AP232" s="41" t="str">
        <f t="shared" si="236"/>
        <v>19.2870439848847-30.9670966675676i</v>
      </c>
      <c r="AQ232">
        <f t="shared" si="237"/>
        <v>31.24162113113719</v>
      </c>
      <c r="AR232" s="43">
        <f t="shared" si="238"/>
        <v>-58.084368231685986</v>
      </c>
      <c r="AS232" t="str">
        <f t="shared" si="215"/>
        <v>-0.0000166666666666667</v>
      </c>
      <c r="AT232" t="str">
        <f t="shared" si="216"/>
        <v>0.0000294889144406902i</v>
      </c>
      <c r="AU232">
        <f t="shared" si="239"/>
        <v>2.9488914440690199E-5</v>
      </c>
      <c r="AV232">
        <f t="shared" si="240"/>
        <v>1.5707963267948966</v>
      </c>
      <c r="AW232" t="str">
        <f t="shared" si="217"/>
        <v>1+0.0294634049991325i</v>
      </c>
      <c r="AX232">
        <f t="shared" si="241"/>
        <v>1.0004339519599197</v>
      </c>
      <c r="AY232">
        <f t="shared" si="242"/>
        <v>2.9454883785988022E-2</v>
      </c>
      <c r="AZ232" t="str">
        <f t="shared" si="218"/>
        <v>1+1.0017557699705i</v>
      </c>
      <c r="BA232">
        <f t="shared" si="243"/>
        <v>1.4154556237018487</v>
      </c>
      <c r="BB232">
        <f t="shared" si="244"/>
        <v>0.7862752781516974</v>
      </c>
      <c r="BC232" s="41" t="str">
        <f t="shared" si="245"/>
        <v>-0.549047597497723+0.581360948981119i</v>
      </c>
      <c r="BD232">
        <f t="shared" si="246"/>
        <v>-1.9420439920862373</v>
      </c>
      <c r="BE232" s="43">
        <f t="shared" si="247"/>
        <v>133.36261444658172</v>
      </c>
      <c r="BF232" s="41" t="str">
        <f t="shared" si="248"/>
        <v>2.43191058235056+6.29768902167613i</v>
      </c>
      <c r="BG232" s="20">
        <f t="shared" si="249"/>
        <v>16.587274024460946</v>
      </c>
      <c r="BH232" s="43">
        <f t="shared" si="250"/>
        <v>68.885473256123632</v>
      </c>
      <c r="BI232" s="41" t="str">
        <f t="shared" si="203"/>
        <v>7.41355554311329+28.2151442209009i</v>
      </c>
      <c r="BJ232" s="20">
        <f t="shared" si="251"/>
        <v>29.29957713905096</v>
      </c>
      <c r="BK232" s="43">
        <f t="shared" si="204"/>
        <v>75.278246214895745</v>
      </c>
      <c r="BL232">
        <f t="shared" si="252"/>
        <v>16.587274024460946</v>
      </c>
      <c r="BM232" s="43">
        <f t="shared" si="253"/>
        <v>68.885473256123632</v>
      </c>
    </row>
    <row r="233" spans="14:65" x14ac:dyDescent="0.25">
      <c r="N233" s="9">
        <v>15</v>
      </c>
      <c r="O233" s="34">
        <f t="shared" si="254"/>
        <v>1412.5375446227545</v>
      </c>
      <c r="P233" s="33" t="str">
        <f t="shared" si="206"/>
        <v>19.6196196196196</v>
      </c>
      <c r="Q233" s="4" t="str">
        <f t="shared" si="207"/>
        <v>1+2.14831330018173i</v>
      </c>
      <c r="R233" s="4">
        <f t="shared" si="219"/>
        <v>2.3696518807068929</v>
      </c>
      <c r="S233" s="4">
        <f t="shared" si="220"/>
        <v>1.1351428669634105</v>
      </c>
      <c r="T233" s="4" t="str">
        <f t="shared" si="208"/>
        <v>1+0.0333708841497617i</v>
      </c>
      <c r="U233" s="4">
        <f t="shared" si="221"/>
        <v>1.0005566530231744</v>
      </c>
      <c r="V233" s="4">
        <f t="shared" si="222"/>
        <v>3.3358504970938396E-2</v>
      </c>
      <c r="W233" t="str">
        <f t="shared" si="209"/>
        <v>1-0.0194145768823414i</v>
      </c>
      <c r="X233" s="4">
        <f t="shared" si="223"/>
        <v>1.0001884451419745</v>
      </c>
      <c r="Y233" s="4">
        <f t="shared" si="224"/>
        <v>-1.9412138148905217E-2</v>
      </c>
      <c r="Z233" t="str">
        <f t="shared" si="210"/>
        <v>0.999998004737685+0.0129958800355265i</v>
      </c>
      <c r="AA233" s="4">
        <f t="shared" si="225"/>
        <v>1.0000824477898054</v>
      </c>
      <c r="AB233" s="4">
        <f t="shared" si="226"/>
        <v>1.2995174398241303E-2</v>
      </c>
      <c r="AC233" s="47" t="str">
        <f t="shared" si="227"/>
        <v>3.50344704244183-7.50782747969477i</v>
      </c>
      <c r="AD233" s="20">
        <f t="shared" si="228"/>
        <v>18.365874907898842</v>
      </c>
      <c r="AE233" s="43">
        <f t="shared" si="229"/>
        <v>-64.9843961099956</v>
      </c>
      <c r="AF233" t="str">
        <f t="shared" si="211"/>
        <v>72.2956529813786</v>
      </c>
      <c r="AG233" t="str">
        <f t="shared" si="212"/>
        <v>1+1.75197141786249i</v>
      </c>
      <c r="AH233">
        <f t="shared" si="230"/>
        <v>2.0172763442342512</v>
      </c>
      <c r="AI233">
        <f t="shared" si="231"/>
        <v>1.0521350728435299</v>
      </c>
      <c r="AJ233" t="str">
        <f t="shared" si="213"/>
        <v>1+0.0333708841497617i</v>
      </c>
      <c r="AK233">
        <f t="shared" si="232"/>
        <v>1.0005566530231744</v>
      </c>
      <c r="AL233">
        <f t="shared" si="233"/>
        <v>3.3358504970938396E-2</v>
      </c>
      <c r="AM233" t="str">
        <f t="shared" si="214"/>
        <v>1-0.00429670473936982i</v>
      </c>
      <c r="AN233">
        <f t="shared" si="234"/>
        <v>1.0000092307932049</v>
      </c>
      <c r="AO233">
        <f t="shared" si="235"/>
        <v>-4.2966782982120635E-3</v>
      </c>
      <c r="AP233" s="41" t="str">
        <f t="shared" si="236"/>
        <v>18.6731410966736-30.6128726977136i</v>
      </c>
      <c r="AQ233">
        <f t="shared" si="237"/>
        <v>31.091849636908556</v>
      </c>
      <c r="AR233" s="43">
        <f t="shared" si="238"/>
        <v>-58.617779138335784</v>
      </c>
      <c r="AS233" t="str">
        <f t="shared" si="215"/>
        <v>-0.0000166666666666667</v>
      </c>
      <c r="AT233" t="str">
        <f t="shared" si="216"/>
        <v>0.0000301757994971249i</v>
      </c>
      <c r="AU233">
        <f t="shared" si="239"/>
        <v>3.0175799497124901E-5</v>
      </c>
      <c r="AV233">
        <f t="shared" si="240"/>
        <v>1.5707963267948966</v>
      </c>
      <c r="AW233" t="str">
        <f t="shared" si="217"/>
        <v>1+0.030149695864342i</v>
      </c>
      <c r="AX233">
        <f t="shared" si="241"/>
        <v>1.0004543988412027</v>
      </c>
      <c r="AY233">
        <f t="shared" si="242"/>
        <v>3.0140565443917373E-2</v>
      </c>
      <c r="AZ233" t="str">
        <f t="shared" si="218"/>
        <v>1+1.02508965938763i</v>
      </c>
      <c r="BA233">
        <f t="shared" si="243"/>
        <v>1.4320645271018506</v>
      </c>
      <c r="BB233">
        <f t="shared" si="244"/>
        <v>0.79778693623872254</v>
      </c>
      <c r="BC233" s="41" t="str">
        <f t="shared" si="245"/>
        <v>-0.549025155302785+0.568871917070943i</v>
      </c>
      <c r="BD233">
        <f t="shared" si="246"/>
        <v>-2.0408949334398314</v>
      </c>
      <c r="BE233" s="43">
        <f t="shared" si="247"/>
        <v>133.98289720507702</v>
      </c>
      <c r="BF233" s="41" t="str">
        <f t="shared" si="248"/>
        <v>2.34751165484016+6.11499878341635i</v>
      </c>
      <c r="BG233" s="20">
        <f t="shared" si="249"/>
        <v>16.324979974459012</v>
      </c>
      <c r="BH233" s="43">
        <f t="shared" si="250"/>
        <v>68.998501095081451</v>
      </c>
      <c r="BI233" s="41" t="str">
        <f t="shared" si="203"/>
        <v>7.16277938800503+27.4298627605275i</v>
      </c>
      <c r="BJ233" s="20">
        <f t="shared" si="251"/>
        <v>29.050954703468719</v>
      </c>
      <c r="BK233" s="43">
        <f t="shared" si="204"/>
        <v>75.365118066741218</v>
      </c>
      <c r="BL233">
        <f t="shared" si="252"/>
        <v>16.324979974459012</v>
      </c>
      <c r="BM233" s="43">
        <f t="shared" si="253"/>
        <v>68.998501095081451</v>
      </c>
    </row>
    <row r="234" spans="14:65" x14ac:dyDescent="0.25">
      <c r="N234" s="9">
        <v>16</v>
      </c>
      <c r="O234" s="34">
        <f t="shared" si="254"/>
        <v>1445.4397707459289</v>
      </c>
      <c r="P234" s="33" t="str">
        <f t="shared" si="206"/>
        <v>19.6196196196196</v>
      </c>
      <c r="Q234" s="4" t="str">
        <f t="shared" si="207"/>
        <v>1+2.19835394529951i</v>
      </c>
      <c r="R234" s="4">
        <f t="shared" si="219"/>
        <v>2.4151107777520107</v>
      </c>
      <c r="S234" s="4">
        <f t="shared" si="220"/>
        <v>1.1438868001079667</v>
      </c>
      <c r="T234" s="4" t="str">
        <f t="shared" si="208"/>
        <v>1+0.034148191896664i</v>
      </c>
      <c r="U234" s="4">
        <f t="shared" si="221"/>
        <v>1.0005828796305738</v>
      </c>
      <c r="V234" s="4">
        <f t="shared" si="222"/>
        <v>3.4134927784869352E-2</v>
      </c>
      <c r="W234" t="str">
        <f t="shared" si="209"/>
        <v>1-0.0198668004717959i</v>
      </c>
      <c r="X234" s="4">
        <f t="shared" si="223"/>
        <v>1.0001973254118339</v>
      </c>
      <c r="Y234" s="4">
        <f t="shared" si="224"/>
        <v>-1.9864187349681595E-2</v>
      </c>
      <c r="Z234" t="str">
        <f t="shared" si="210"/>
        <v>0.999997910703869+0.0132985929688756i</v>
      </c>
      <c r="AA234" s="4">
        <f t="shared" si="225"/>
        <v>1.0000863332668111</v>
      </c>
      <c r="AB234" s="4">
        <f t="shared" si="226"/>
        <v>1.329783686842668E-2</v>
      </c>
      <c r="AC234" s="47" t="str">
        <f t="shared" si="227"/>
        <v>3.37322570527914-7.39644279701813i</v>
      </c>
      <c r="AD234" s="20">
        <f t="shared" si="228"/>
        <v>18.201095824134647</v>
      </c>
      <c r="AE234" s="43">
        <f t="shared" si="229"/>
        <v>-65.484142618662659</v>
      </c>
      <c r="AF234" t="str">
        <f t="shared" si="211"/>
        <v>72.2956529813786</v>
      </c>
      <c r="AG234" t="str">
        <f t="shared" si="212"/>
        <v>1+1.79278007457486i</v>
      </c>
      <c r="AH234">
        <f t="shared" si="230"/>
        <v>2.0528176723208129</v>
      </c>
      <c r="AI234">
        <f t="shared" si="231"/>
        <v>1.0619897761895278</v>
      </c>
      <c r="AJ234" t="str">
        <f t="shared" si="213"/>
        <v>1+0.034148191896664i</v>
      </c>
      <c r="AK234">
        <f t="shared" si="232"/>
        <v>1.0005828796305738</v>
      </c>
      <c r="AL234">
        <f t="shared" si="233"/>
        <v>3.4134927784869352E-2</v>
      </c>
      <c r="AM234" t="str">
        <f t="shared" si="214"/>
        <v>1-0.00439678784969664i</v>
      </c>
      <c r="AN234">
        <f t="shared" si="234"/>
        <v>1.0000096658249835</v>
      </c>
      <c r="AO234">
        <f t="shared" si="235"/>
        <v>-4.3967595175004419E-3</v>
      </c>
      <c r="AP234" s="41" t="str">
        <f t="shared" si="236"/>
        <v>18.0734460542174-30.2508167822162i</v>
      </c>
      <c r="AQ234">
        <f t="shared" si="237"/>
        <v>30.94038144630666</v>
      </c>
      <c r="AR234" s="43">
        <f t="shared" si="238"/>
        <v>-59.143660529532688</v>
      </c>
      <c r="AS234" t="str">
        <f t="shared" si="215"/>
        <v>-0.0000166666666666667</v>
      </c>
      <c r="AT234" t="str">
        <f t="shared" si="216"/>
        <v>0.0000308786841618771i</v>
      </c>
      <c r="AU234">
        <f t="shared" si="239"/>
        <v>3.0878684161877099E-5</v>
      </c>
      <c r="AV234">
        <f t="shared" si="240"/>
        <v>1.5707963267948966</v>
      </c>
      <c r="AW234" t="str">
        <f t="shared" si="217"/>
        <v>1+0.0308519724973772i</v>
      </c>
      <c r="AX234">
        <f t="shared" si="241"/>
        <v>1.0004758089064318</v>
      </c>
      <c r="AY234">
        <f t="shared" si="242"/>
        <v>3.0842189326903687E-2</v>
      </c>
      <c r="AZ234" t="str">
        <f t="shared" si="218"/>
        <v>1+1.04896706491082i</v>
      </c>
      <c r="BA234">
        <f t="shared" si="243"/>
        <v>1.4492521876014612</v>
      </c>
      <c r="BB234">
        <f t="shared" si="244"/>
        <v>0.80929203006169148</v>
      </c>
      <c r="BC234" s="41" t="str">
        <f t="shared" si="245"/>
        <v>-0.549001657406061+0.556684444848121i</v>
      </c>
      <c r="BD234">
        <f t="shared" si="246"/>
        <v>-2.1374532644764783</v>
      </c>
      <c r="BE234" s="43">
        <f t="shared" si="247"/>
        <v>134.60189043673441</v>
      </c>
      <c r="BF234" s="41" t="str">
        <f t="shared" si="248"/>
        <v>2.26557814930594+5.9384816335628i</v>
      </c>
      <c r="BG234" s="20">
        <f t="shared" si="249"/>
        <v>16.06364255965816</v>
      </c>
      <c r="BH234" s="43">
        <f t="shared" si="250"/>
        <v>69.117747818071749</v>
      </c>
      <c r="BI234" s="41" t="str">
        <f t="shared" si="203"/>
        <v>6.91780730780586+26.6689548345083i</v>
      </c>
      <c r="BJ234" s="20">
        <f t="shared" si="251"/>
        <v>28.80292818183019</v>
      </c>
      <c r="BK234" s="43">
        <f t="shared" si="204"/>
        <v>75.458229907201726</v>
      </c>
      <c r="BL234">
        <f t="shared" si="252"/>
        <v>16.06364255965816</v>
      </c>
      <c r="BM234" s="43">
        <f t="shared" si="253"/>
        <v>69.117747818071749</v>
      </c>
    </row>
    <row r="235" spans="14:65" x14ac:dyDescent="0.25">
      <c r="N235" s="9">
        <v>17</v>
      </c>
      <c r="O235" s="34">
        <f t="shared" si="254"/>
        <v>1479.1083881682086</v>
      </c>
      <c r="P235" s="33" t="str">
        <f t="shared" si="206"/>
        <v>19.6196196196196</v>
      </c>
      <c r="Q235" s="4" t="str">
        <f t="shared" si="207"/>
        <v>1+2.24956018677774i</v>
      </c>
      <c r="R235" s="4">
        <f t="shared" si="219"/>
        <v>2.4618125505276596</v>
      </c>
      <c r="S235" s="4">
        <f t="shared" si="220"/>
        <v>1.1524994388612317</v>
      </c>
      <c r="T235" s="4" t="str">
        <f t="shared" si="208"/>
        <v>1+0.0349436054669147i</v>
      </c>
      <c r="U235" s="4">
        <f t="shared" si="221"/>
        <v>1.0006103415231262</v>
      </c>
      <c r="V235" s="4">
        <f t="shared" si="222"/>
        <v>3.4929393183239517E-2</v>
      </c>
      <c r="W235" t="str">
        <f t="shared" si="209"/>
        <v>1-0.0203295577018288i</v>
      </c>
      <c r="X235" s="4">
        <f t="shared" si="223"/>
        <v>1.0002066241114143</v>
      </c>
      <c r="Y235" s="4">
        <f t="shared" si="224"/>
        <v>-2.0326757722275809E-2</v>
      </c>
      <c r="Z235" t="str">
        <f t="shared" si="210"/>
        <v>0.999997812238376+0.0136083569922445i</v>
      </c>
      <c r="AA235" s="4">
        <f t="shared" si="225"/>
        <v>1.0000904018445365</v>
      </c>
      <c r="AB235" s="4">
        <f t="shared" si="226"/>
        <v>1.3607546819971476E-2</v>
      </c>
      <c r="AC235" s="47" t="str">
        <f t="shared" si="227"/>
        <v>3.24688529820247-7.28452645439662i</v>
      </c>
      <c r="AD235" s="20">
        <f t="shared" si="228"/>
        <v>18.035021119922781</v>
      </c>
      <c r="AE235" s="43">
        <f t="shared" si="229"/>
        <v>-65.976339358573981</v>
      </c>
      <c r="AF235" t="str">
        <f t="shared" si="211"/>
        <v>72.2956529813786</v>
      </c>
      <c r="AG235" t="str">
        <f t="shared" si="212"/>
        <v>1+1.83453928701302i</v>
      </c>
      <c r="AH235">
        <f t="shared" si="230"/>
        <v>2.0893861288891147</v>
      </c>
      <c r="AI235">
        <f t="shared" si="231"/>
        <v>1.0717259894021836</v>
      </c>
      <c r="AJ235" t="str">
        <f t="shared" si="213"/>
        <v>1+0.0349436054669147i</v>
      </c>
      <c r="AK235">
        <f t="shared" si="232"/>
        <v>1.0006103415231262</v>
      </c>
      <c r="AL235">
        <f t="shared" si="233"/>
        <v>3.4929393183239517E-2</v>
      </c>
      <c r="AM235" t="str">
        <f t="shared" si="214"/>
        <v>1-0.00449920219513974i</v>
      </c>
      <c r="AN235">
        <f t="shared" si="234"/>
        <v>1.0000101213589754</v>
      </c>
      <c r="AO235">
        <f t="shared" si="235"/>
        <v>-4.4991718366611481E-3</v>
      </c>
      <c r="AP235" s="41" t="str">
        <f t="shared" si="236"/>
        <v>17.488084984294-29.8815809441484i</v>
      </c>
      <c r="AQ235">
        <f t="shared" si="237"/>
        <v>30.787257204548261</v>
      </c>
      <c r="AR235" s="43">
        <f t="shared" si="238"/>
        <v>-59.661852734419639</v>
      </c>
      <c r="AS235" t="str">
        <f t="shared" si="215"/>
        <v>-0.0000166666666666667</v>
      </c>
      <c r="AT235" t="str">
        <f t="shared" si="216"/>
        <v>0.0000315979411136995i</v>
      </c>
      <c r="AU235">
        <f t="shared" si="239"/>
        <v>3.1597941113699499E-5</v>
      </c>
      <c r="AV235">
        <f t="shared" si="240"/>
        <v>1.5707963267948966</v>
      </c>
      <c r="AW235" t="str">
        <f t="shared" si="217"/>
        <v>1+0.0315706072546047i</v>
      </c>
      <c r="AX235">
        <f t="shared" si="241"/>
        <v>1.0004982275058885</v>
      </c>
      <c r="AY235">
        <f t="shared" si="242"/>
        <v>3.1560124680495023E-2</v>
      </c>
      <c r="AZ235" t="str">
        <f t="shared" si="218"/>
        <v>1+1.07340064665656i</v>
      </c>
      <c r="BA235">
        <f t="shared" si="243"/>
        <v>1.4670340651268876</v>
      </c>
      <c r="BB235">
        <f t="shared" si="244"/>
        <v>0.82078447766404694</v>
      </c>
      <c r="BC235" s="41" t="str">
        <f t="shared" si="245"/>
        <v>-0.548977054243309+0.544792065804199i</v>
      </c>
      <c r="BD235">
        <f t="shared" si="246"/>
        <v>-2.2317232180241211</v>
      </c>
      <c r="BE235" s="43">
        <f t="shared" si="247"/>
        <v>135.21922451490065</v>
      </c>
      <c r="BF235" s="41" t="str">
        <f t="shared" si="248"/>
        <v>2.18608668902297+5.76791522352912i</v>
      </c>
      <c r="BG235" s="20">
        <f t="shared" si="249"/>
        <v>15.803297901898661</v>
      </c>
      <c r="BH235" s="43">
        <f t="shared" si="250"/>
        <v>69.242885156326707</v>
      </c>
      <c r="BI235" s="41" t="str">
        <f t="shared" si="203"/>
        <v>6.67869083302363+25.9316722284045i</v>
      </c>
      <c r="BJ235" s="20">
        <f t="shared" si="251"/>
        <v>28.555533986524139</v>
      </c>
      <c r="BK235" s="43">
        <f t="shared" si="204"/>
        <v>75.55737178048102</v>
      </c>
      <c r="BL235">
        <f t="shared" si="252"/>
        <v>15.803297901898661</v>
      </c>
      <c r="BM235" s="43">
        <f t="shared" si="253"/>
        <v>69.242885156326707</v>
      </c>
    </row>
    <row r="236" spans="14:65" x14ac:dyDescent="0.25">
      <c r="N236" s="9">
        <v>18</v>
      </c>
      <c r="O236" s="34">
        <f t="shared" si="254"/>
        <v>1513.5612484362093</v>
      </c>
      <c r="P236" s="33" t="str">
        <f t="shared" si="206"/>
        <v>19.6196196196196</v>
      </c>
      <c r="Q236" s="4" t="str">
        <f t="shared" si="207"/>
        <v>1+2.30195917484344i</v>
      </c>
      <c r="R236" s="4">
        <f t="shared" si="219"/>
        <v>2.5097840629516099</v>
      </c>
      <c r="S236" s="4">
        <f t="shared" si="220"/>
        <v>1.1609802378033098</v>
      </c>
      <c r="T236" s="4" t="str">
        <f t="shared" si="208"/>
        <v>1+0.0357575465993173i</v>
      </c>
      <c r="U236" s="4">
        <f t="shared" si="221"/>
        <v>1.0006390968470111</v>
      </c>
      <c r="V236" s="4">
        <f t="shared" si="222"/>
        <v>3.5742318388251836E-2</v>
      </c>
      <c r="W236" t="str">
        <f t="shared" si="209"/>
        <v>1-0.0208030939324486i</v>
      </c>
      <c r="X236" s="4">
        <f t="shared" si="223"/>
        <v>1.0002163609525503</v>
      </c>
      <c r="Y236" s="4">
        <f t="shared" si="224"/>
        <v>-2.0800093735353561E-2</v>
      </c>
      <c r="Z236" t="str">
        <f t="shared" si="210"/>
        <v>0.999997709132347+0.0139253363466186i</v>
      </c>
      <c r="AA236" s="4">
        <f t="shared" si="225"/>
        <v>1.0000946621506928</v>
      </c>
      <c r="AB236" s="4">
        <f t="shared" si="226"/>
        <v>1.3924468235824675E-2</v>
      </c>
      <c r="AC236" s="47" t="str">
        <f t="shared" si="227"/>
        <v>3.12438285763107-7.17221860164319i</v>
      </c>
      <c r="AD236" s="20">
        <f t="shared" si="228"/>
        <v>17.867690767857116</v>
      </c>
      <c r="AE236" s="43">
        <f t="shared" si="229"/>
        <v>-66.460954576953682</v>
      </c>
      <c r="AF236" t="str">
        <f t="shared" si="211"/>
        <v>72.2956529813786</v>
      </c>
      <c r="AG236" t="str">
        <f t="shared" si="212"/>
        <v>1+1.87727119646416i</v>
      </c>
      <c r="AH236">
        <f t="shared" si="230"/>
        <v>2.1270042654103865</v>
      </c>
      <c r="AI236">
        <f t="shared" si="231"/>
        <v>1.0813414905448011</v>
      </c>
      <c r="AJ236" t="str">
        <f t="shared" si="213"/>
        <v>1+0.0357575465993173i</v>
      </c>
      <c r="AK236">
        <f t="shared" si="232"/>
        <v>1.0006390968470111</v>
      </c>
      <c r="AL236">
        <f t="shared" si="233"/>
        <v>3.5742318388251836E-2</v>
      </c>
      <c r="AM236" t="str">
        <f t="shared" si="214"/>
        <v>1-0.00460400207714068i</v>
      </c>
      <c r="AN236">
        <f t="shared" si="234"/>
        <v>1.0000105983614005</v>
      </c>
      <c r="AO236">
        <f t="shared" si="235"/>
        <v>-4.6039695474634117E-3</v>
      </c>
      <c r="AP236" s="41" t="str">
        <f t="shared" si="236"/>
        <v>16.9171484035251-29.5058095803321i</v>
      </c>
      <c r="AQ236">
        <f t="shared" si="237"/>
        <v>30.632517884224697</v>
      </c>
      <c r="AR236" s="43">
        <f t="shared" si="238"/>
        <v>-60.172207651019463</v>
      </c>
      <c r="AS236" t="str">
        <f t="shared" si="215"/>
        <v>-0.0000166666666666667</v>
      </c>
      <c r="AT236" t="str">
        <f t="shared" si="216"/>
        <v>0.0000323339517121487i</v>
      </c>
      <c r="AU236">
        <f t="shared" si="239"/>
        <v>3.2333951712148702E-5</v>
      </c>
      <c r="AV236">
        <f t="shared" si="240"/>
        <v>1.5707963267948966</v>
      </c>
      <c r="AW236" t="str">
        <f t="shared" si="217"/>
        <v>1+0.0323059811656849i</v>
      </c>
      <c r="AX236">
        <f t="shared" si="241"/>
        <v>1.0005217021229862</v>
      </c>
      <c r="AY236">
        <f t="shared" si="242"/>
        <v>3.2294749201455537E-2</v>
      </c>
      <c r="AZ236" t="str">
        <f t="shared" si="218"/>
        <v>1+1.09840335963328i</v>
      </c>
      <c r="BA236">
        <f t="shared" si="243"/>
        <v>1.4854258448181374</v>
      </c>
      <c r="BB236">
        <f t="shared" si="244"/>
        <v>0.83225823049338321</v>
      </c>
      <c r="BC236" s="41" t="str">
        <f t="shared" si="245"/>
        <v>-0.548951293932586+0.533188469568728i</v>
      </c>
      <c r="BD236">
        <f t="shared" si="246"/>
        <v>-2.3237114630431663</v>
      </c>
      <c r="BE236" s="43">
        <f t="shared" si="247"/>
        <v>135.8345312426201</v>
      </c>
      <c r="BF236" s="41" t="str">
        <f t="shared" si="248"/>
        <v>2.10901024718513+5.60308359594647i</v>
      </c>
      <c r="BG236" s="20">
        <f t="shared" si="249"/>
        <v>15.543979304813947</v>
      </c>
      <c r="BH236" s="43">
        <f t="shared" si="250"/>
        <v>69.373576665666405</v>
      </c>
      <c r="BI236" s="41" t="str">
        <f t="shared" si="203"/>
        <v>6.4454669477589+25.2172808143944i</v>
      </c>
      <c r="BJ236" s="20">
        <f t="shared" si="251"/>
        <v>28.308806421181529</v>
      </c>
      <c r="BK236" s="43">
        <f t="shared" si="204"/>
        <v>75.662323591600654</v>
      </c>
      <c r="BL236">
        <f t="shared" si="252"/>
        <v>15.543979304813947</v>
      </c>
      <c r="BM236" s="43">
        <f t="shared" si="253"/>
        <v>69.373576665666405</v>
      </c>
    </row>
    <row r="237" spans="14:65" x14ac:dyDescent="0.25">
      <c r="N237" s="9">
        <v>19</v>
      </c>
      <c r="O237" s="34">
        <f t="shared" si="254"/>
        <v>1548.8166189124822</v>
      </c>
      <c r="P237" s="33" t="str">
        <f t="shared" si="206"/>
        <v>19.6196196196196</v>
      </c>
      <c r="Q237" s="4" t="str">
        <f t="shared" si="207"/>
        <v>1+2.35557869213368i</v>
      </c>
      <c r="R237" s="4">
        <f t="shared" si="219"/>
        <v>2.5590527495216309</v>
      </c>
      <c r="S237" s="4">
        <f t="shared" si="220"/>
        <v>1.1693288127378834</v>
      </c>
      <c r="T237" s="4" t="str">
        <f t="shared" si="208"/>
        <v>1+0.0365904468562339i</v>
      </c>
      <c r="U237" s="4">
        <f t="shared" si="221"/>
        <v>1.0006692064819118</v>
      </c>
      <c r="V237" s="4">
        <f t="shared" si="222"/>
        <v>3.6574130123399398E-2</v>
      </c>
      <c r="W237" t="str">
        <f t="shared" si="209"/>
        <v>1-0.0212876602388329i</v>
      </c>
      <c r="X237" s="4">
        <f t="shared" si="223"/>
        <v>1.000226556575281</v>
      </c>
      <c r="Y237" s="4">
        <f t="shared" si="224"/>
        <v>-2.1284445509051977E-2</v>
      </c>
      <c r="Z237" t="str">
        <f t="shared" si="210"/>
        <v>0.999997601167081+0.0142496990986473i</v>
      </c>
      <c r="AA237" s="4">
        <f t="shared" si="225"/>
        <v>1.0000991232194529</v>
      </c>
      <c r="AB237" s="4">
        <f t="shared" si="226"/>
        <v>1.4248768906151061E-2</v>
      </c>
      <c r="AC237" s="47" t="str">
        <f t="shared" si="227"/>
        <v>3.00567009986145-7.05965380549973i</v>
      </c>
      <c r="AD237" s="20">
        <f t="shared" si="228"/>
        <v>17.699144303001869</v>
      </c>
      <c r="AE237" s="43">
        <f t="shared" si="229"/>
        <v>-66.937965756015586</v>
      </c>
      <c r="AF237" t="str">
        <f t="shared" si="211"/>
        <v>72.2956529813786</v>
      </c>
      <c r="AG237" t="str">
        <f t="shared" si="212"/>
        <v>1+1.92099845995228i</v>
      </c>
      <c r="AH237">
        <f t="shared" si="230"/>
        <v>2.1656950577445184</v>
      </c>
      <c r="AI237">
        <f t="shared" si="231"/>
        <v>1.0908342648571663</v>
      </c>
      <c r="AJ237" t="str">
        <f t="shared" si="213"/>
        <v>1+0.0365904468562339i</v>
      </c>
      <c r="AK237">
        <f t="shared" si="232"/>
        <v>1.0006692064819118</v>
      </c>
      <c r="AL237">
        <f t="shared" si="233"/>
        <v>3.6574130123399398E-2</v>
      </c>
      <c r="AM237" t="str">
        <f t="shared" si="214"/>
        <v>1-0.00471124306198409i</v>
      </c>
      <c r="AN237">
        <f t="shared" si="234"/>
        <v>1.0000110978440135</v>
      </c>
      <c r="AO237">
        <f t="shared" si="235"/>
        <v>-4.7112082058277955E-3</v>
      </c>
      <c r="AP237" s="41" t="str">
        <f t="shared" si="236"/>
        <v>16.3606926038219-29.1241374408628i</v>
      </c>
      <c r="AQ237">
        <f t="shared" si="237"/>
        <v>30.476204688115175</v>
      </c>
      <c r="AR237" s="43">
        <f t="shared" si="238"/>
        <v>-60.674588575739712</v>
      </c>
      <c r="AS237" t="str">
        <f t="shared" si="215"/>
        <v>-0.0000166666666666667</v>
      </c>
      <c r="AT237" t="str">
        <f t="shared" si="216"/>
        <v>0.000033087106199786i</v>
      </c>
      <c r="AU237">
        <f t="shared" si="239"/>
        <v>3.3087106199786002E-5</v>
      </c>
      <c r="AV237">
        <f t="shared" si="240"/>
        <v>1.5707963267948966</v>
      </c>
      <c r="AW237" t="str">
        <f t="shared" si="217"/>
        <v>1+0.0330584841355994i</v>
      </c>
      <c r="AX237">
        <f t="shared" si="241"/>
        <v>1.0005462824744009</v>
      </c>
      <c r="AY237">
        <f t="shared" si="242"/>
        <v>3.304644922395944E-2</v>
      </c>
      <c r="AZ237" t="str">
        <f t="shared" si="218"/>
        <v>1+1.12398846061038i</v>
      </c>
      <c r="BA237">
        <f t="shared" si="243"/>
        <v>1.5044434384799226</v>
      </c>
      <c r="BB237">
        <f t="shared" si="244"/>
        <v>0.84370728921704585</v>
      </c>
      <c r="BC237" s="41" t="str">
        <f t="shared" si="245"/>
        <v>-0.548924322166856+0.521867498540371i</v>
      </c>
      <c r="BD237">
        <f t="shared" si="246"/>
        <v>-2.4134270791230974</v>
      </c>
      <c r="BE237" s="43">
        <f t="shared" si="247"/>
        <v>136.44744474813402</v>
      </c>
      <c r="BF237" s="41" t="str">
        <f t="shared" si="248"/>
        <v>2.03431844981352+5.44377721636889i</v>
      </c>
      <c r="BG237" s="20">
        <f t="shared" si="249"/>
        <v>15.285717223878777</v>
      </c>
      <c r="BH237" s="43">
        <f t="shared" si="250"/>
        <v>69.509478992118488</v>
      </c>
      <c r="BI237" s="41" t="str">
        <f t="shared" si="203"/>
        <v>6.2181586556758+24.5250611269644i</v>
      </c>
      <c r="BJ237" s="20">
        <f t="shared" si="251"/>
        <v>28.062777608992061</v>
      </c>
      <c r="BK237" s="43">
        <f t="shared" si="204"/>
        <v>75.772856172394313</v>
      </c>
      <c r="BL237">
        <f t="shared" si="252"/>
        <v>15.285717223878777</v>
      </c>
      <c r="BM237" s="43">
        <f t="shared" si="253"/>
        <v>69.509478992118488</v>
      </c>
    </row>
    <row r="238" spans="14:65" x14ac:dyDescent="0.25">
      <c r="N238" s="9">
        <v>20</v>
      </c>
      <c r="O238" s="34">
        <f t="shared" si="254"/>
        <v>1584.8931924611156</v>
      </c>
      <c r="P238" s="33" t="str">
        <f t="shared" si="206"/>
        <v>19.6196196196196</v>
      </c>
      <c r="Q238" s="4" t="str">
        <f t="shared" si="207"/>
        <v>1+2.41044716842626i</v>
      </c>
      <c r="R238" s="4">
        <f t="shared" si="219"/>
        <v>2.6096466335069537</v>
      </c>
      <c r="S238" s="4">
        <f t="shared" si="220"/>
        <v>1.1775449340598863</v>
      </c>
      <c r="T238" s="4" t="str">
        <f t="shared" si="208"/>
        <v>1+0.0374427478524055i</v>
      </c>
      <c r="U238" s="4">
        <f t="shared" si="221"/>
        <v>1.0007007341691816</v>
      </c>
      <c r="V238" s="4">
        <f t="shared" si="222"/>
        <v>3.7425264819329368E-2</v>
      </c>
      <c r="W238" t="str">
        <f t="shared" si="209"/>
        <v>1-0.0217835135444514i</v>
      </c>
      <c r="X238" s="4">
        <f t="shared" si="223"/>
        <v>1.0002372325915194</v>
      </c>
      <c r="Y238" s="4">
        <f t="shared" si="224"/>
        <v>-2.1780068943553114E-2</v>
      </c>
      <c r="Z238" t="str">
        <f t="shared" si="210"/>
        <v>0.999997488113568+0.0145816172297552i</v>
      </c>
      <c r="AA238" s="4">
        <f t="shared" si="225"/>
        <v>1.0001037945105902</v>
      </c>
      <c r="AB238" s="4">
        <f t="shared" si="226"/>
        <v>1.4580620516123842E-2</v>
      </c>
      <c r="AC238" s="47" t="str">
        <f t="shared" si="227"/>
        <v>2.89069389506852-6.94696092983539i</v>
      </c>
      <c r="AD238" s="20">
        <f t="shared" si="228"/>
        <v>17.529420772370297</v>
      </c>
      <c r="AE238" s="43">
        <f t="shared" si="229"/>
        <v>-67.407359233560626</v>
      </c>
      <c r="AF238" t="str">
        <f t="shared" si="211"/>
        <v>72.2956529813786</v>
      </c>
      <c r="AG238" t="str">
        <f t="shared" si="212"/>
        <v>1+1.96574426225129i</v>
      </c>
      <c r="AH238">
        <f t="shared" si="230"/>
        <v>2.2054819211623267</v>
      </c>
      <c r="AI238">
        <f t="shared" si="231"/>
        <v>1.100202501325946</v>
      </c>
      <c r="AJ238" t="str">
        <f t="shared" si="213"/>
        <v>1+0.0374427478524055i</v>
      </c>
      <c r="AK238">
        <f t="shared" si="232"/>
        <v>1.0007007341691816</v>
      </c>
      <c r="AL238">
        <f t="shared" si="233"/>
        <v>3.7425264819329368E-2</v>
      </c>
      <c r="AM238" t="str">
        <f t="shared" si="214"/>
        <v>1-0.00482098201025965i</v>
      </c>
      <c r="AN238">
        <f t="shared" si="234"/>
        <v>1.0000116208662493</v>
      </c>
      <c r="AO238">
        <f t="shared" si="235"/>
        <v>-4.8209446612387146E-3</v>
      </c>
      <c r="AP238" s="41" t="str">
        <f t="shared" si="236"/>
        <v>15.8187411437673-28.7371877764355i</v>
      </c>
      <c r="AQ238">
        <f t="shared" si="237"/>
        <v>30.318358956100266</v>
      </c>
      <c r="AR238" s="43">
        <f t="shared" si="238"/>
        <v>-61.168869996761224</v>
      </c>
      <c r="AS238" t="str">
        <f t="shared" si="215"/>
        <v>-0.0000166666666666667</v>
      </c>
      <c r="AT238" t="str">
        <f t="shared" si="216"/>
        <v>0.0000338578039090901i</v>
      </c>
      <c r="AU238">
        <f t="shared" si="239"/>
        <v>3.3857803909090099E-5</v>
      </c>
      <c r="AV238">
        <f t="shared" si="240"/>
        <v>1.5707963267948966</v>
      </c>
      <c r="AW238" t="str">
        <f t="shared" si="217"/>
        <v>1+0.0338285151513834i</v>
      </c>
      <c r="AX238">
        <f t="shared" si="241"/>
        <v>1.0005720206148818</v>
      </c>
      <c r="AY238">
        <f t="shared" si="242"/>
        <v>3.3815619909363673E-2</v>
      </c>
      <c r="AZ238" t="str">
        <f t="shared" si="218"/>
        <v>1+1.15016951514703i</v>
      </c>
      <c r="BA238">
        <f t="shared" si="243"/>
        <v>1.5241029865378368</v>
      </c>
      <c r="BB238">
        <f t="shared" si="244"/>
        <v>0.85512571922264624</v>
      </c>
      <c r="BC238" s="41" t="str">
        <f t="shared" si="245"/>
        <v>-0.548896082101548+0.510823144597353i</v>
      </c>
      <c r="BD238">
        <f t="shared" si="246"/>
        <v>-2.500881521122249</v>
      </c>
      <c r="BE238" s="43">
        <f t="shared" si="247"/>
        <v>137.05760236212157</v>
      </c>
      <c r="BF238" s="41" t="str">
        <f t="shared" si="248"/>
        <v>1.96197787401549+5.28979298244644i</v>
      </c>
      <c r="BG238" s="20">
        <f t="shared" si="249"/>
        <v>15.028539251248043</v>
      </c>
      <c r="BH238" s="43">
        <f t="shared" si="250"/>
        <v>69.650243128560945</v>
      </c>
      <c r="BI238" s="41" t="str">
        <f t="shared" si="203"/>
        <v>5.99677558925096+23.8543088757327i</v>
      </c>
      <c r="BJ238" s="20">
        <f t="shared" si="251"/>
        <v>27.817477434978024</v>
      </c>
      <c r="BK238" s="43">
        <f t="shared" si="204"/>
        <v>75.888732365360397</v>
      </c>
      <c r="BL238">
        <f t="shared" si="252"/>
        <v>15.028539251248043</v>
      </c>
      <c r="BM238" s="43">
        <f t="shared" si="253"/>
        <v>69.650243128560945</v>
      </c>
    </row>
    <row r="239" spans="14:65" x14ac:dyDescent="0.25">
      <c r="N239" s="9">
        <v>21</v>
      </c>
      <c r="O239" s="34">
        <f t="shared" si="254"/>
        <v>1621.8100973589308</v>
      </c>
      <c r="P239" s="33" t="str">
        <f t="shared" si="206"/>
        <v>19.6196196196196</v>
      </c>
      <c r="Q239" s="4" t="str">
        <f t="shared" si="207"/>
        <v>1+2.46659369571357i</v>
      </c>
      <c r="R239" s="4">
        <f t="shared" si="219"/>
        <v>2.6615943454504722</v>
      </c>
      <c r="S239" s="4">
        <f t="shared" si="220"/>
        <v>1.1856285200038177</v>
      </c>
      <c r="T239" s="4" t="str">
        <f t="shared" si="208"/>
        <v>1+0.0383149014891017i</v>
      </c>
      <c r="U239" s="4">
        <f t="shared" si="221"/>
        <v>1.0007337466459896</v>
      </c>
      <c r="V239" s="4">
        <f t="shared" si="222"/>
        <v>3.8296168823405648E-2</v>
      </c>
      <c r="W239" t="str">
        <f t="shared" si="209"/>
        <v>1-0.0222909167572899i</v>
      </c>
      <c r="X239" s="4">
        <f t="shared" si="223"/>
        <v>1.0002484116307711</v>
      </c>
      <c r="Y239" s="4">
        <f t="shared" si="224"/>
        <v>-2.2287225850433929E-2</v>
      </c>
      <c r="Z239" t="str">
        <f t="shared" si="210"/>
        <v>0.999997369732008+0.0149212667273287i</v>
      </c>
      <c r="AA239" s="4">
        <f t="shared" si="225"/>
        <v>1.0001086859295256</v>
      </c>
      <c r="AB239" s="4">
        <f t="shared" si="226"/>
        <v>1.4920198735698345E-2</v>
      </c>
      <c r="AC239" s="47" t="str">
        <f t="shared" si="227"/>
        <v>2.77939673129477-6.83426305183605i</v>
      </c>
      <c r="AD239" s="20">
        <f t="shared" si="228"/>
        <v>17.358558689249346</v>
      </c>
      <c r="AE239" s="43">
        <f t="shared" si="229"/>
        <v>-67.869129816795891</v>
      </c>
      <c r="AF239" t="str">
        <f t="shared" si="211"/>
        <v>72.2956529813786</v>
      </c>
      <c r="AG239" t="str">
        <f t="shared" si="212"/>
        <v>1+2.01153232817784i</v>
      </c>
      <c r="AH239">
        <f t="shared" si="230"/>
        <v>2.2463887257784574</v>
      </c>
      <c r="AI239">
        <f t="shared" si="231"/>
        <v>1.1094445886825632</v>
      </c>
      <c r="AJ239" t="str">
        <f t="shared" si="213"/>
        <v>1+0.0383149014891017i</v>
      </c>
      <c r="AK239">
        <f t="shared" si="232"/>
        <v>1.0007337466459896</v>
      </c>
      <c r="AL239">
        <f t="shared" si="233"/>
        <v>3.8296168823405648E-2</v>
      </c>
      <c r="AM239" t="str">
        <f t="shared" si="214"/>
        <v>1-0.00493327710701026i</v>
      </c>
      <c r="AN239">
        <f t="shared" si="234"/>
        <v>1.0000121685374708</v>
      </c>
      <c r="AO239">
        <f t="shared" si="235"/>
        <v>-4.9332370868395972E-3</v>
      </c>
      <c r="AP239" s="41" t="str">
        <f t="shared" si="236"/>
        <v>15.2912864275406-28.3455706561426i</v>
      </c>
      <c r="AQ239">
        <f t="shared" si="237"/>
        <v>30.159022076450587</v>
      </c>
      <c r="AR239" s="43">
        <f t="shared" si="238"/>
        <v>-61.654937354450198</v>
      </c>
      <c r="AS239" t="str">
        <f t="shared" si="215"/>
        <v>-0.0000166666666666667</v>
      </c>
      <c r="AT239" t="str">
        <f t="shared" si="216"/>
        <v>0.0000346464534741878i</v>
      </c>
      <c r="AU239">
        <f t="shared" si="239"/>
        <v>3.46464534741878E-5</v>
      </c>
      <c r="AV239">
        <f t="shared" si="240"/>
        <v>1.5707963267948966</v>
      </c>
      <c r="AW239" t="str">
        <f t="shared" si="217"/>
        <v>1+0.0346164824936738i</v>
      </c>
      <c r="AX239">
        <f t="shared" si="241"/>
        <v>1.0005989710469598</v>
      </c>
      <c r="AY239">
        <f t="shared" si="242"/>
        <v>3.4602665439590008E-2</v>
      </c>
      <c r="AZ239" t="str">
        <f t="shared" si="218"/>
        <v>1+1.17696040478491i</v>
      </c>
      <c r="BA239">
        <f t="shared" si="243"/>
        <v>1.5444208605271621</v>
      </c>
      <c r="BB239">
        <f t="shared" si="244"/>
        <v>0.86650766570724247</v>
      </c>
      <c r="BC239" s="41" t="str">
        <f t="shared" si="245"/>
        <v>-0.548866514237124+0.500049545885431i</v>
      </c>
      <c r="BD239">
        <f t="shared" si="246"/>
        <v>-2.5860885742716437</v>
      </c>
      <c r="BE239" s="43">
        <f t="shared" si="247"/>
        <v>137.6646454711661</v>
      </c>
      <c r="BF239" s="41" t="str">
        <f t="shared" si="248"/>
        <v>1.89195233994438+5.14093421196022i</v>
      </c>
      <c r="BG239" s="20">
        <f t="shared" si="249"/>
        <v>14.772470114977697</v>
      </c>
      <c r="BH239" s="43">
        <f t="shared" si="250"/>
        <v>69.79551565437022</v>
      </c>
      <c r="BI239" s="41" t="str">
        <f t="shared" si="203"/>
        <v>5.78131465478185+23.2043353941948i</v>
      </c>
      <c r="BJ239" s="20">
        <f t="shared" si="251"/>
        <v>27.57293350217893</v>
      </c>
      <c r="BK239" s="43">
        <f t="shared" si="204"/>
        <v>76.009708116715913</v>
      </c>
      <c r="BL239">
        <f t="shared" si="252"/>
        <v>14.772470114977697</v>
      </c>
      <c r="BM239" s="43">
        <f t="shared" si="253"/>
        <v>69.79551565437022</v>
      </c>
    </row>
    <row r="240" spans="14:65" x14ac:dyDescent="0.25">
      <c r="N240" s="9">
        <v>22</v>
      </c>
      <c r="O240" s="34">
        <f t="shared" si="254"/>
        <v>1659.5869074375626</v>
      </c>
      <c r="P240" s="33" t="str">
        <f t="shared" si="206"/>
        <v>19.6196196196196</v>
      </c>
      <c r="Q240" s="4" t="str">
        <f t="shared" si="207"/>
        <v>1+2.52404804362759i</v>
      </c>
      <c r="R240" s="4">
        <f t="shared" si="219"/>
        <v>2.7149251419772633</v>
      </c>
      <c r="S240" s="4">
        <f t="shared" si="220"/>
        <v>1.1935796298135628</v>
      </c>
      <c r="T240" s="4" t="str">
        <f t="shared" si="208"/>
        <v>1+0.0392073701937253i</v>
      </c>
      <c r="U240" s="4">
        <f t="shared" si="221"/>
        <v>1.0007683137857173</v>
      </c>
      <c r="V240" s="4">
        <f t="shared" si="222"/>
        <v>3.9187298612980544E-2</v>
      </c>
      <c r="W240" t="str">
        <f t="shared" si="209"/>
        <v>1-0.0228101389092485i</v>
      </c>
      <c r="X240" s="4">
        <f t="shared" si="223"/>
        <v>1.0002601173880019</v>
      </c>
      <c r="Y240" s="4">
        <f t="shared" si="224"/>
        <v>-2.2806184086842634E-2</v>
      </c>
      <c r="Z240" t="str">
        <f t="shared" si="210"/>
        <v>0.999997245771297+0.0152688276780275i</v>
      </c>
      <c r="AA240" s="4">
        <f t="shared" si="225"/>
        <v>1.0001138078483074</v>
      </c>
      <c r="AB240" s="4">
        <f t="shared" si="226"/>
        <v>1.5267683311409824E-2</v>
      </c>
      <c r="AC240" s="47" t="str">
        <f t="shared" si="227"/>
        <v>2.67171716613891-6.72167741180457i</v>
      </c>
      <c r="AD240" s="20">
        <f t="shared" si="228"/>
        <v>17.186595992259882</v>
      </c>
      <c r="AE240" s="43">
        <f t="shared" si="229"/>
        <v>-68.323280391722335</v>
      </c>
      <c r="AF240" t="str">
        <f t="shared" si="211"/>
        <v>72.2956529813786</v>
      </c>
      <c r="AG240" t="str">
        <f t="shared" si="212"/>
        <v>1+2.05838693517058i</v>
      </c>
      <c r="AH240">
        <f t="shared" si="230"/>
        <v>2.2884398123789351</v>
      </c>
      <c r="AI240">
        <f t="shared" si="231"/>
        <v>1.1185591108839696</v>
      </c>
      <c r="AJ240" t="str">
        <f t="shared" si="213"/>
        <v>1+0.0392073701937253i</v>
      </c>
      <c r="AK240">
        <f t="shared" si="232"/>
        <v>1.0007683137857173</v>
      </c>
      <c r="AL240">
        <f t="shared" si="233"/>
        <v>3.9187298612980544E-2</v>
      </c>
      <c r="AM240" t="str">
        <f t="shared" si="214"/>
        <v>1-0.00504818789258269i</v>
      </c>
      <c r="AN240">
        <f t="shared" si="234"/>
        <v>1.0000127420193199</v>
      </c>
      <c r="AO240">
        <f t="shared" si="235"/>
        <v>-5.0481450102267365E-3</v>
      </c>
      <c r="AP240" s="41" t="str">
        <f t="shared" si="236"/>
        <v>14.7782913535446-27.9498814565095i</v>
      </c>
      <c r="AQ240">
        <f t="shared" si="237"/>
        <v>29.998235401712996</v>
      </c>
      <c r="AR240" s="43">
        <f t="shared" si="238"/>
        <v>-62.132686771970697</v>
      </c>
      <c r="AS240" t="str">
        <f t="shared" si="215"/>
        <v>-0.0000166666666666667</v>
      </c>
      <c r="AT240" t="str">
        <f t="shared" si="216"/>
        <v>0.0000354534730475176i</v>
      </c>
      <c r="AU240">
        <f t="shared" si="239"/>
        <v>3.5453473047517601E-5</v>
      </c>
      <c r="AV240">
        <f t="shared" si="240"/>
        <v>1.5707963267948966</v>
      </c>
      <c r="AW240" t="str">
        <f t="shared" si="217"/>
        <v>1+0.0354228039531859i</v>
      </c>
      <c r="AX240">
        <f t="shared" si="241"/>
        <v>1.0006271908357807</v>
      </c>
      <c r="AY240">
        <f t="shared" si="242"/>
        <v>3.5407999214144129E-2</v>
      </c>
      <c r="AZ240" t="str">
        <f t="shared" si="218"/>
        <v>1+1.20437533440832i</v>
      </c>
      <c r="BA240">
        <f t="shared" si="243"/>
        <v>1.5654136661378526</v>
      </c>
      <c r="BB240">
        <f t="shared" si="244"/>
        <v>0.87784736826339849</v>
      </c>
      <c r="BC240" s="41" t="str">
        <f t="shared" si="245"/>
        <v>-0.548835556296236+0.489540983681556i</v>
      </c>
      <c r="BD240">
        <f t="shared" si="246"/>
        <v>-2.6690643001492651</v>
      </c>
      <c r="BE240" s="43">
        <f t="shared" si="247"/>
        <v>138.26822034218625</v>
      </c>
      <c r="BF240" s="41" t="str">
        <f t="shared" si="248"/>
        <v>1.82420319502085+4.99701061118215i</v>
      </c>
      <c r="BG240" s="20">
        <f t="shared" si="249"/>
        <v>14.517531692110619</v>
      </c>
      <c r="BH240" s="43">
        <f t="shared" si="250"/>
        <v>69.944939950463962</v>
      </c>
      <c r="BI240" s="41" t="str">
        <f t="shared" si="203"/>
        <v>5.57176070587204+22.5744680239441i</v>
      </c>
      <c r="BJ240" s="20">
        <f t="shared" si="251"/>
        <v>27.329171101563734</v>
      </c>
      <c r="BK240" s="43">
        <f t="shared" si="204"/>
        <v>76.135533570215543</v>
      </c>
      <c r="BL240">
        <f t="shared" si="252"/>
        <v>14.517531692110619</v>
      </c>
      <c r="BM240" s="43">
        <f t="shared" si="253"/>
        <v>69.944939950463962</v>
      </c>
    </row>
    <row r="241" spans="14:65" x14ac:dyDescent="0.25">
      <c r="N241" s="9">
        <v>23</v>
      </c>
      <c r="O241" s="34">
        <f t="shared" si="254"/>
        <v>1698.2436524617447</v>
      </c>
      <c r="P241" s="33" t="str">
        <f t="shared" si="206"/>
        <v>19.6196196196196</v>
      </c>
      <c r="Q241" s="4" t="str">
        <f t="shared" si="207"/>
        <v>1+2.58284067522405i</v>
      </c>
      <c r="R241" s="4">
        <f t="shared" si="219"/>
        <v>2.7696689249063375</v>
      </c>
      <c r="S241" s="4">
        <f t="shared" si="220"/>
        <v>1.2013984568717304</v>
      </c>
      <c r="T241" s="4" t="str">
        <f t="shared" si="208"/>
        <v>1+0.0401206271649963i</v>
      </c>
      <c r="U241" s="4">
        <f t="shared" si="221"/>
        <v>1.000804508744896</v>
      </c>
      <c r="V241" s="4">
        <f t="shared" si="222"/>
        <v>4.0099121012376657E-2</v>
      </c>
      <c r="W241" t="str">
        <f t="shared" si="209"/>
        <v>1-0.0233414552987844i</v>
      </c>
      <c r="X241" s="4">
        <f t="shared" si="223"/>
        <v>1.0002723746737512</v>
      </c>
      <c r="Y241" s="4">
        <f t="shared" si="224"/>
        <v>-2.3337217692547145E-2</v>
      </c>
      <c r="Z241" t="str">
        <f t="shared" si="210"/>
        <v>0.999997115968497+0.0156244843632679i</v>
      </c>
      <c r="AA241" s="4">
        <f t="shared" si="225"/>
        <v>1.0001191711275861</v>
      </c>
      <c r="AB241" s="4">
        <f t="shared" si="226"/>
        <v>1.5623258160234807E-2</v>
      </c>
      <c r="AC241" s="47" t="str">
        <f t="shared" si="227"/>
        <v>2.56759026417883-6.60931539411739i</v>
      </c>
      <c r="AD241" s="20">
        <f t="shared" si="228"/>
        <v>17.01357000901988</v>
      </c>
      <c r="AE241" s="43">
        <f t="shared" si="229"/>
        <v>-68.76982153027221</v>
      </c>
      <c r="AF241" t="str">
        <f t="shared" si="211"/>
        <v>72.2956529813786</v>
      </c>
      <c r="AG241" t="str">
        <f t="shared" si="212"/>
        <v>1+2.10633292616231i</v>
      </c>
      <c r="AH241">
        <f t="shared" si="230"/>
        <v>2.3316600086280759</v>
      </c>
      <c r="AI241">
        <f t="shared" si="231"/>
        <v>1.1275448421316225</v>
      </c>
      <c r="AJ241" t="str">
        <f t="shared" si="213"/>
        <v>1+0.0401206271649963i</v>
      </c>
      <c r="AK241">
        <f t="shared" si="232"/>
        <v>1.000804508744896</v>
      </c>
      <c r="AL241">
        <f t="shared" si="233"/>
        <v>4.0099121012376657E-2</v>
      </c>
      <c r="AM241" t="str">
        <f t="shared" si="214"/>
        <v>1-0.0051657752941964i</v>
      </c>
      <c r="AN241">
        <f t="shared" si="234"/>
        <v>1.0000133425281836</v>
      </c>
      <c r="AO241">
        <f t="shared" si="235"/>
        <v>-5.1657293449572537E-3</v>
      </c>
      <c r="AP241" s="41" t="str">
        <f t="shared" si="236"/>
        <v>14.2796910156382-27.5506995207961i</v>
      </c>
      <c r="AQ241">
        <f t="shared" si="237"/>
        <v>29.836040169369824</v>
      </c>
      <c r="AR241" s="43">
        <f t="shared" si="238"/>
        <v>-62.602024759266108</v>
      </c>
      <c r="AS241" t="str">
        <f t="shared" si="215"/>
        <v>-0.0000166666666666667</v>
      </c>
      <c r="AT241" t="str">
        <f t="shared" si="216"/>
        <v>0.0000362792905215393i</v>
      </c>
      <c r="AU241">
        <f t="shared" si="239"/>
        <v>3.6279290521539303E-5</v>
      </c>
      <c r="AV241">
        <f t="shared" si="240"/>
        <v>1.5707963267948966</v>
      </c>
      <c r="AW241" t="str">
        <f t="shared" si="217"/>
        <v>1+0.03624790705223i</v>
      </c>
      <c r="AX241">
        <f t="shared" si="241"/>
        <v>1.0006567397292976</v>
      </c>
      <c r="AY241">
        <f t="shared" si="242"/>
        <v>3.6232044050791494E-2</v>
      </c>
      <c r="AZ241" t="str">
        <f t="shared" si="218"/>
        <v>1+1.23242883977582i</v>
      </c>
      <c r="BA241">
        <f t="shared" si="243"/>
        <v>1.5870982468363999</v>
      </c>
      <c r="BB241">
        <f t="shared" si="244"/>
        <v>0.88913917487647021</v>
      </c>
      <c r="BC241" s="41" t="str">
        <f t="shared" si="245"/>
        <v>-0.548803143095343+0.479291879331394i</v>
      </c>
      <c r="BD241">
        <f t="shared" si="246"/>
        <v>-2.7498269740044474</v>
      </c>
      <c r="BE241" s="43">
        <f t="shared" si="247"/>
        <v>138.86797891292377</v>
      </c>
      <c r="BF241" s="41" t="str">
        <f t="shared" si="248"/>
        <v>1.75868958917809+4.85783822507132i</v>
      </c>
      <c r="BG241" s="20">
        <f t="shared" si="249"/>
        <v>14.26374303501543</v>
      </c>
      <c r="BH241" s="43">
        <f t="shared" si="250"/>
        <v>70.098157382651607</v>
      </c>
      <c r="BI241" s="41" t="str">
        <f t="shared" si="203"/>
        <v>5.36808723840433+21.9640504346451i</v>
      </c>
      <c r="BJ241" s="20">
        <f t="shared" si="251"/>
        <v>27.086213195365367</v>
      </c>
      <c r="BK241" s="43">
        <f t="shared" si="204"/>
        <v>76.26595415365766</v>
      </c>
      <c r="BL241">
        <f t="shared" si="252"/>
        <v>14.26374303501543</v>
      </c>
      <c r="BM241" s="43">
        <f t="shared" si="253"/>
        <v>70.098157382651607</v>
      </c>
    </row>
    <row r="242" spans="14:65" x14ac:dyDescent="0.25">
      <c r="N242" s="9">
        <v>24</v>
      </c>
      <c r="O242" s="34">
        <f t="shared" si="254"/>
        <v>1737.8008287493772</v>
      </c>
      <c r="P242" s="33" t="str">
        <f t="shared" si="206"/>
        <v>19.6196196196196</v>
      </c>
      <c r="Q242" s="4" t="str">
        <f t="shared" si="207"/>
        <v>1+2.64300276313447i</v>
      </c>
      <c r="R242" s="4">
        <f t="shared" si="219"/>
        <v>2.825856260664446</v>
      </c>
      <c r="S242" s="4">
        <f t="shared" si="220"/>
        <v>1.2090853218236841</v>
      </c>
      <c r="T242" s="4" t="str">
        <f t="shared" si="208"/>
        <v>1+0.0410551566238497i</v>
      </c>
      <c r="U242" s="4">
        <f t="shared" si="221"/>
        <v>1.0008424081169867</v>
      </c>
      <c r="V242" s="4">
        <f t="shared" si="222"/>
        <v>4.1032113413581255E-2</v>
      </c>
      <c r="W242" t="str">
        <f t="shared" si="209"/>
        <v>1-0.0238851476368807i</v>
      </c>
      <c r="X242" s="4">
        <f t="shared" si="223"/>
        <v>1.0002852094665979</v>
      </c>
      <c r="Y242" s="4">
        <f t="shared" si="224"/>
        <v>-2.3880607029910513E-2</v>
      </c>
      <c r="Z242" t="str">
        <f t="shared" si="210"/>
        <v>0.99999698004828+0.0159884253569324i</v>
      </c>
      <c r="AA242" s="4">
        <f t="shared" si="225"/>
        <v>1.0001247871396222</v>
      </c>
      <c r="AB242" s="4">
        <f t="shared" si="226"/>
        <v>1.5987111465562902E-2</v>
      </c>
      <c r="AC242" s="47" t="str">
        <f t="shared" si="227"/>
        <v>2.46694801847329-6.49728253684467i</v>
      </c>
      <c r="AD242" s="20">
        <f t="shared" si="228"/>
        <v>16.839517424258236</v>
      </c>
      <c r="AE242" s="43">
        <f t="shared" si="229"/>
        <v>-69.208771097219881</v>
      </c>
      <c r="AF242" t="str">
        <f t="shared" si="211"/>
        <v>72.2956529813786</v>
      </c>
      <c r="AG242" t="str">
        <f t="shared" si="212"/>
        <v>1+2.15539572275211i</v>
      </c>
      <c r="AH242">
        <f t="shared" si="230"/>
        <v>2.3760746456410184</v>
      </c>
      <c r="AI242">
        <f t="shared" si="231"/>
        <v>1.1364007414834931</v>
      </c>
      <c r="AJ242" t="str">
        <f t="shared" si="213"/>
        <v>1+0.0410551566238497i</v>
      </c>
      <c r="AK242">
        <f t="shared" si="232"/>
        <v>1.0008424081169867</v>
      </c>
      <c r="AL242">
        <f t="shared" si="233"/>
        <v>4.1032113413581255E-2</v>
      </c>
      <c r="AM242" t="str">
        <f t="shared" si="214"/>
        <v>1-0.00528610165824825i</v>
      </c>
      <c r="AN242">
        <f t="shared" si="234"/>
        <v>1.0000139713377716</v>
      </c>
      <c r="AO242">
        <f t="shared" si="235"/>
        <v>-5.2860524227885944E-3</v>
      </c>
      <c r="AP242" s="41" t="str">
        <f t="shared" si="236"/>
        <v>13.7953944407533-27.1485869860129i</v>
      </c>
      <c r="AQ242">
        <f t="shared" si="237"/>
        <v>29.672477427397297</v>
      </c>
      <c r="AR242" s="43">
        <f t="shared" si="238"/>
        <v>-63.062867893551825</v>
      </c>
      <c r="AS242" t="str">
        <f t="shared" si="215"/>
        <v>-0.0000166666666666667</v>
      </c>
      <c r="AT242" t="str">
        <f t="shared" si="216"/>
        <v>0.0000371243437556088i</v>
      </c>
      <c r="AU242">
        <f t="shared" si="239"/>
        <v>3.7124343755608802E-5</v>
      </c>
      <c r="AV242">
        <f t="shared" si="240"/>
        <v>1.5707963267948966</v>
      </c>
      <c r="AW242" t="str">
        <f t="shared" si="217"/>
        <v>1+0.0370922292713912i</v>
      </c>
      <c r="AX242">
        <f t="shared" si="241"/>
        <v>1.0006876802840743</v>
      </c>
      <c r="AY242">
        <f t="shared" si="242"/>
        <v>3.7075232389915426E-2</v>
      </c>
      <c r="AZ242" t="str">
        <f t="shared" si="218"/>
        <v>1+1.2611357952273i</v>
      </c>
      <c r="BA242">
        <f t="shared" si="243"/>
        <v>1.6094916880815491</v>
      </c>
      <c r="BB242">
        <f t="shared" si="244"/>
        <v>0.90037755525405605</v>
      </c>
      <c r="BC242" s="41" t="str">
        <f t="shared" si="245"/>
        <v>-0.54876920641053+0.469296791258999i</v>
      </c>
      <c r="BD242">
        <f t="shared" si="246"/>
        <v>-2.8283970139805232</v>
      </c>
      <c r="BE242" s="43">
        <f t="shared" si="247"/>
        <v>139.46357954395566</v>
      </c>
      <c r="BF242" s="41" t="str">
        <f t="shared" si="248"/>
        <v>1.69536874009072+4.72323937084151i</v>
      </c>
      <c r="BG242" s="20">
        <f t="shared" si="249"/>
        <v>14.011120410277725</v>
      </c>
      <c r="BH242" s="43">
        <f t="shared" si="250"/>
        <v>70.254808446735765</v>
      </c>
      <c r="BI242" s="41" t="str">
        <f t="shared" ref="BI242:BI305" si="255">IMPRODUCT(AP242,BC242)</f>
        <v>5.17025710037925+21.3724428806793i</v>
      </c>
      <c r="BJ242" s="20">
        <f t="shared" si="251"/>
        <v>26.844080413416776</v>
      </c>
      <c r="BK242" s="43">
        <f t="shared" ref="BK242:BK305" si="256">(180/PI())*IMARGUMENT(BI242)</f>
        <v>76.400711650403849</v>
      </c>
      <c r="BL242">
        <f t="shared" si="252"/>
        <v>14.011120410277725</v>
      </c>
      <c r="BM242" s="43">
        <f t="shared" si="253"/>
        <v>70.254808446735765</v>
      </c>
    </row>
    <row r="243" spans="14:65" x14ac:dyDescent="0.25">
      <c r="N243" s="9">
        <v>25</v>
      </c>
      <c r="O243" s="34">
        <f t="shared" si="254"/>
        <v>1778.2794100389244</v>
      </c>
      <c r="P243" s="33" t="str">
        <f t="shared" si="206"/>
        <v>19.6196196196196</v>
      </c>
      <c r="Q243" s="4" t="str">
        <f t="shared" si="207"/>
        <v>1+2.70456620609419i</v>
      </c>
      <c r="R243" s="4">
        <f t="shared" si="219"/>
        <v>2.8835184000014147</v>
      </c>
      <c r="S243" s="4">
        <f t="shared" si="220"/>
        <v>1.2166406657283921</v>
      </c>
      <c r="T243" s="4" t="str">
        <f t="shared" si="208"/>
        <v>1+0.0420114540701744i</v>
      </c>
      <c r="U243" s="4">
        <f t="shared" si="221"/>
        <v>1.0008820920933146</v>
      </c>
      <c r="V243" s="4">
        <f t="shared" si="222"/>
        <v>4.1986764000639436E-2</v>
      </c>
      <c r="W243" t="str">
        <f t="shared" si="209"/>
        <v>1-0.0244415041964113i</v>
      </c>
      <c r="X243" s="4">
        <f t="shared" si="223"/>
        <v>1.0002986489680885</v>
      </c>
      <c r="Y243" s="4">
        <f t="shared" si="224"/>
        <v>-2.4436638926834987E-2</v>
      </c>
      <c r="Z243" t="str">
        <f t="shared" si="210"/>
        <v>0.99999683772234+0.0163608436253529i</v>
      </c>
      <c r="AA243" s="4">
        <f t="shared" si="225"/>
        <v>1.0001306677923707</v>
      </c>
      <c r="AB243" s="4">
        <f t="shared" si="226"/>
        <v>1.6359435775318124E-2</v>
      </c>
      <c r="AC243" s="47" t="str">
        <f t="shared" si="227"/>
        <v>2.36971975478529-6.38567856753575i</v>
      </c>
      <c r="AD243" s="20">
        <f t="shared" si="228"/>
        <v>16.664474252213985</v>
      </c>
      <c r="AE243" s="43">
        <f t="shared" si="229"/>
        <v>-69.640153858708999</v>
      </c>
      <c r="AF243" t="str">
        <f t="shared" si="211"/>
        <v>72.2956529813786</v>
      </c>
      <c r="AG243" t="str">
        <f t="shared" si="212"/>
        <v>1+2.20560133868416i</v>
      </c>
      <c r="AH243">
        <f t="shared" si="230"/>
        <v>2.4217095749088822</v>
      </c>
      <c r="AI243">
        <f t="shared" si="231"/>
        <v>1.1451259471127675</v>
      </c>
      <c r="AJ243" t="str">
        <f t="shared" si="213"/>
        <v>1+0.0420114540701744i</v>
      </c>
      <c r="AK243">
        <f t="shared" si="232"/>
        <v>1.0008820920933146</v>
      </c>
      <c r="AL243">
        <f t="shared" si="233"/>
        <v>4.1986764000639436E-2</v>
      </c>
      <c r="AM243" t="str">
        <f t="shared" si="214"/>
        <v>1-0.00540923078336912i</v>
      </c>
      <c r="AN243">
        <f t="shared" si="234"/>
        <v>1.0000146297818187</v>
      </c>
      <c r="AO243">
        <f t="shared" si="235"/>
        <v>-5.4091780266652817E-3</v>
      </c>
      <c r="AP243" s="41" t="str">
        <f t="shared" si="236"/>
        <v>13.3252863476823-26.744087773708i</v>
      </c>
      <c r="AQ243">
        <f t="shared" si="237"/>
        <v>29.50758796480763</v>
      </c>
      <c r="AR243" s="43">
        <f t="shared" si="238"/>
        <v>-63.515142479397035</v>
      </c>
      <c r="AS243" t="str">
        <f t="shared" si="215"/>
        <v>-0.0000166666666666667</v>
      </c>
      <c r="AT243" t="str">
        <f t="shared" si="216"/>
        <v>0.0000379890808081363i</v>
      </c>
      <c r="AU243">
        <f t="shared" si="239"/>
        <v>3.7989080808136297E-5</v>
      </c>
      <c r="AV243">
        <f t="shared" si="240"/>
        <v>1.5707963267948966</v>
      </c>
      <c r="AW243" t="str">
        <f t="shared" si="217"/>
        <v>1+0.0379562182814859i</v>
      </c>
      <c r="AX243">
        <f t="shared" si="241"/>
        <v>1.0007200779969552</v>
      </c>
      <c r="AY243">
        <f t="shared" si="242"/>
        <v>3.7938006502566173E-2</v>
      </c>
      <c r="AZ243" t="str">
        <f t="shared" si="218"/>
        <v>1+1.29051142157052i</v>
      </c>
      <c r="BA243">
        <f t="shared" si="243"/>
        <v>1.6326113221474254</v>
      </c>
      <c r="BB243">
        <f t="shared" si="244"/>
        <v>0.91155711341610957</v>
      </c>
      <c r="BC243" s="41" t="str">
        <f t="shared" si="245"/>
        <v>-0.548733674837243+0.459550412046853i</v>
      </c>
      <c r="BD243">
        <f t="shared" si="246"/>
        <v>-2.9047969028454519</v>
      </c>
      <c r="BE243" s="43">
        <f t="shared" si="247"/>
        <v>140.0546877281343</v>
      </c>
      <c r="BF243" s="41" t="str">
        <f t="shared" si="248"/>
        <v>1.63419618753207+4.59304255644046i</v>
      </c>
      <c r="BG243" s="20">
        <f t="shared" si="249"/>
        <v>13.759677349368529</v>
      </c>
      <c r="BH243" s="43">
        <f t="shared" si="250"/>
        <v>70.414533869425284</v>
      </c>
      <c r="BI243" s="41" t="str">
        <f t="shared" si="255"/>
        <v>4.97822321040246+20.7990223959563i</v>
      </c>
      <c r="BJ243" s="20">
        <f t="shared" si="251"/>
        <v>26.602791061962186</v>
      </c>
      <c r="BK243" s="43">
        <f t="shared" si="256"/>
        <v>76.539545248737298</v>
      </c>
      <c r="BL243">
        <f t="shared" si="252"/>
        <v>13.759677349368529</v>
      </c>
      <c r="BM243" s="43">
        <f t="shared" si="253"/>
        <v>70.414533869425284</v>
      </c>
    </row>
    <row r="244" spans="14:65" x14ac:dyDescent="0.25">
      <c r="N244" s="9">
        <v>26</v>
      </c>
      <c r="O244" s="34">
        <f t="shared" si="254"/>
        <v>1819.7008586099832</v>
      </c>
      <c r="P244" s="33" t="str">
        <f t="shared" si="206"/>
        <v>19.6196196196196</v>
      </c>
      <c r="Q244" s="4" t="str">
        <f t="shared" si="207"/>
        <v>1+2.76756364585551i</v>
      </c>
      <c r="R244" s="4">
        <f t="shared" si="219"/>
        <v>2.9426872980085808</v>
      </c>
      <c r="S244" s="4">
        <f t="shared" si="220"/>
        <v>1.2240650432654163</v>
      </c>
      <c r="T244" s="4" t="str">
        <f t="shared" si="208"/>
        <v>1+0.0429900265455339i</v>
      </c>
      <c r="U244" s="4">
        <f t="shared" si="221"/>
        <v>1.0009236446314902</v>
      </c>
      <c r="V244" s="4">
        <f t="shared" si="222"/>
        <v>4.2963571977735579E-2</v>
      </c>
      <c r="W244" t="str">
        <f t="shared" si="209"/>
        <v>1-0.0250108199649882i</v>
      </c>
      <c r="X244" s="4">
        <f t="shared" si="223"/>
        <v>1.0003127216602421</v>
      </c>
      <c r="Y244" s="4">
        <f t="shared" si="224"/>
        <v>-2.5005606822730595E-2</v>
      </c>
      <c r="Z244" t="str">
        <f t="shared" si="210"/>
        <v>0.999996688688785+0.0167419366296247i</v>
      </c>
      <c r="AA244" s="4">
        <f t="shared" si="225"/>
        <v>1.0001368255547063</v>
      </c>
      <c r="AB244" s="4">
        <f t="shared" si="226"/>
        <v>1.6740428102277955E-2</v>
      </c>
      <c r="AC244" s="47" t="str">
        <f t="shared" si="227"/>
        <v>2.27583251744679-6.27459746269249i</v>
      </c>
      <c r="AD244" s="20">
        <f t="shared" si="228"/>
        <v>16.48847581314153</v>
      </c>
      <c r="AE244" s="43">
        <f t="shared" si="229"/>
        <v>-70.064001094084844</v>
      </c>
      <c r="AF244" t="str">
        <f t="shared" si="211"/>
        <v>72.2956529813786</v>
      </c>
      <c r="AG244" t="str">
        <f t="shared" si="212"/>
        <v>1+2.25697639364053i</v>
      </c>
      <c r="AH244">
        <f t="shared" si="230"/>
        <v>2.4685911855652836</v>
      </c>
      <c r="AI244">
        <f t="shared" si="231"/>
        <v>1.1537197702655049</v>
      </c>
      <c r="AJ244" t="str">
        <f t="shared" si="213"/>
        <v>1+0.0429900265455339i</v>
      </c>
      <c r="AK244">
        <f t="shared" si="232"/>
        <v>1.0009236446314902</v>
      </c>
      <c r="AL244">
        <f t="shared" si="233"/>
        <v>4.2963571977735579E-2</v>
      </c>
      <c r="AM244" t="str">
        <f t="shared" si="214"/>
        <v>1-0.00553522795425092i</v>
      </c>
      <c r="AN244">
        <f t="shared" si="234"/>
        <v>1.000015319256913</v>
      </c>
      <c r="AO244">
        <f t="shared" si="235"/>
        <v>-5.535171424471047E-3</v>
      </c>
      <c r="AP244" s="41" t="str">
        <f t="shared" si="236"/>
        <v>12.8692289129139-26.33772673936i</v>
      </c>
      <c r="AQ244">
        <f t="shared" si="237"/>
        <v>29.341412247216461</v>
      </c>
      <c r="AR244" s="43">
        <f t="shared" si="238"/>
        <v>-63.958784191389171</v>
      </c>
      <c r="AS244" t="str">
        <f t="shared" si="215"/>
        <v>-0.0000166666666666667</v>
      </c>
      <c r="AT244" t="str">
        <f t="shared" si="216"/>
        <v>0.0000388739601741531i</v>
      </c>
      <c r="AU244">
        <f t="shared" si="239"/>
        <v>3.8873960174153103E-5</v>
      </c>
      <c r="AV244">
        <f t="shared" si="240"/>
        <v>1.5707963267948966</v>
      </c>
      <c r="AW244" t="str">
        <f t="shared" si="217"/>
        <v>1+0.0388403321809228i</v>
      </c>
      <c r="AX244">
        <f t="shared" si="241"/>
        <v>1.0007540014428744</v>
      </c>
      <c r="AY244">
        <f t="shared" si="242"/>
        <v>3.8820818702216549E-2</v>
      </c>
      <c r="AZ244" t="str">
        <f t="shared" si="218"/>
        <v>1+1.32057129415137i</v>
      </c>
      <c r="BA244">
        <f t="shared" si="243"/>
        <v>1.6564747335642109</v>
      </c>
      <c r="BB244">
        <f t="shared" si="244"/>
        <v>0.92267259948242508</v>
      </c>
      <c r="BC244" s="41" t="str">
        <f t="shared" si="245"/>
        <v>-0.548696473643713+0.450047565584591i</v>
      </c>
      <c r="BD244">
        <f t="shared" si="246"/>
        <v>-2.9790511028906113</v>
      </c>
      <c r="BE244" s="43">
        <f t="shared" si="247"/>
        <v>140.64097675382808</v>
      </c>
      <c r="BF244" s="41" t="str">
        <f t="shared" si="248"/>
        <v>1.57512603618126+4.46708238546834i</v>
      </c>
      <c r="BG244" s="20">
        <f t="shared" si="249"/>
        <v>13.509424710250924</v>
      </c>
      <c r="BH244" s="43">
        <f t="shared" si="250"/>
        <v>70.576975659743255</v>
      </c>
      <c r="BI244" s="41" t="str">
        <f t="shared" si="255"/>
        <v>4.79192927905159+20.2431829288863i</v>
      </c>
      <c r="BJ244" s="20">
        <f t="shared" si="251"/>
        <v>26.362361144325849</v>
      </c>
      <c r="BK244" s="43">
        <f t="shared" si="256"/>
        <v>76.682192562438914</v>
      </c>
      <c r="BL244">
        <f t="shared" si="252"/>
        <v>13.509424710250924</v>
      </c>
      <c r="BM244" s="43">
        <f t="shared" si="253"/>
        <v>70.576975659743255</v>
      </c>
    </row>
    <row r="245" spans="14:65" x14ac:dyDescent="0.25">
      <c r="N245" s="9">
        <v>27</v>
      </c>
      <c r="O245" s="34">
        <f t="shared" si="254"/>
        <v>1862.0871366628687</v>
      </c>
      <c r="P245" s="33" t="str">
        <f t="shared" si="206"/>
        <v>19.6196196196196</v>
      </c>
      <c r="Q245" s="4" t="str">
        <f t="shared" si="207"/>
        <v>1+2.83202848449491i</v>
      </c>
      <c r="R245" s="4">
        <f t="shared" si="219"/>
        <v>3.0033956344428785</v>
      </c>
      <c r="S245" s="4">
        <f t="shared" si="220"/>
        <v>1.2313591160244148</v>
      </c>
      <c r="T245" s="4" t="str">
        <f t="shared" si="208"/>
        <v>1+0.0439913929020084i</v>
      </c>
      <c r="U245" s="4">
        <f t="shared" si="221"/>
        <v>1.0009671536316558</v>
      </c>
      <c r="V245" s="4">
        <f t="shared" si="222"/>
        <v>4.3963047800940992E-2</v>
      </c>
      <c r="W245" t="str">
        <f t="shared" si="209"/>
        <v>1-0.0255933968013679i</v>
      </c>
      <c r="X245" s="4">
        <f t="shared" si="223"/>
        <v>1.000327457365753</v>
      </c>
      <c r="Y245" s="4">
        <f t="shared" si="224"/>
        <v>-2.5587810917552353E-2</v>
      </c>
      <c r="Z245" t="str">
        <f t="shared" si="210"/>
        <v>0.999996532631495+0.0171319064303034i</v>
      </c>
      <c r="AA245" s="4">
        <f t="shared" si="225"/>
        <v>1.0001432734828293</v>
      </c>
      <c r="AB245" s="4">
        <f t="shared" si="226"/>
        <v>1.7130290026632879E-2</v>
      </c>
      <c r="AC245" s="47" t="str">
        <f t="shared" si="227"/>
        <v>2.18521143604545-6.16412752849872i</v>
      </c>
      <c r="AD245" s="20">
        <f t="shared" si="228"/>
        <v>16.31155671373342</v>
      </c>
      <c r="AE245" s="43">
        <f t="shared" si="229"/>
        <v>-70.480350212548657</v>
      </c>
      <c r="AF245" t="str">
        <f t="shared" si="211"/>
        <v>72.2956529813786</v>
      </c>
      <c r="AG245" t="str">
        <f t="shared" si="212"/>
        <v>1+2.30954812735544i</v>
      </c>
      <c r="AH245">
        <f t="shared" si="230"/>
        <v>2.5167464219843483</v>
      </c>
      <c r="AI245">
        <f t="shared" si="231"/>
        <v>1.1621816889676757</v>
      </c>
      <c r="AJ245" t="str">
        <f t="shared" si="213"/>
        <v>1+0.0439913929020084i</v>
      </c>
      <c r="AK245">
        <f t="shared" si="232"/>
        <v>1.0009671536316558</v>
      </c>
      <c r="AL245">
        <f t="shared" si="233"/>
        <v>4.3963047800940992E-2</v>
      </c>
      <c r="AM245" t="str">
        <f t="shared" si="214"/>
        <v>1-0.00566415997626149i</v>
      </c>
      <c r="AN245">
        <f t="shared" si="234"/>
        <v>1.000016041225458</v>
      </c>
      <c r="AO245">
        <f t="shared" si="235"/>
        <v>-5.664099403563513E-3</v>
      </c>
      <c r="AP245" s="41" t="str">
        <f t="shared" si="236"/>
        <v>12.4270635305503-25.9300089741732i</v>
      </c>
      <c r="AQ245">
        <f t="shared" si="237"/>
        <v>29.173990357439404</v>
      </c>
      <c r="AR245" s="43">
        <f t="shared" si="238"/>
        <v>-64.393737702274464</v>
      </c>
      <c r="AS245" t="str">
        <f t="shared" si="215"/>
        <v>-0.0000166666666666667</v>
      </c>
      <c r="AT245" t="str">
        <f t="shared" si="216"/>
        <v>0.000039779451028412i</v>
      </c>
      <c r="AU245">
        <f t="shared" si="239"/>
        <v>3.9779451028411999E-5</v>
      </c>
      <c r="AV245">
        <f t="shared" si="240"/>
        <v>1.5707963267948966</v>
      </c>
      <c r="AW245" t="str">
        <f t="shared" si="217"/>
        <v>1+0.039745039738595i</v>
      </c>
      <c r="AX245">
        <f t="shared" si="241"/>
        <v>1.0007895224190861</v>
      </c>
      <c r="AY245">
        <f t="shared" si="242"/>
        <v>3.9724131560230837E-2</v>
      </c>
      <c r="AZ245" t="str">
        <f t="shared" si="218"/>
        <v>1+1.35133135111223i</v>
      </c>
      <c r="BA245">
        <f t="shared" si="243"/>
        <v>1.681099765183139</v>
      </c>
      <c r="BB245">
        <f t="shared" si="244"/>
        <v>0.9337189206029024</v>
      </c>
      <c r="BC245" s="41" t="str">
        <f t="shared" si="245"/>
        <v>-0.548657524617834+0.440783204284728i</v>
      </c>
      <c r="BD245">
        <f t="shared" si="246"/>
        <v>-3.0511859647008732</v>
      </c>
      <c r="BE245" s="43">
        <f t="shared" si="247"/>
        <v>141.2221283188334</v>
      </c>
      <c r="BF245" s="41" t="str">
        <f t="shared" si="248"/>
        <v>1.51811118636409+4.3451994500345i</v>
      </c>
      <c r="BG245" s="20">
        <f t="shared" si="249"/>
        <v>13.260370749032548</v>
      </c>
      <c r="BH245" s="43">
        <f t="shared" si="250"/>
        <v>70.741778106284713</v>
      </c>
      <c r="BI245" s="41" t="str">
        <f t="shared" si="255"/>
        <v>4.61131052782753+19.7043354199339i</v>
      </c>
      <c r="BJ245" s="20">
        <f t="shared" si="251"/>
        <v>26.122804392738516</v>
      </c>
      <c r="BK245" s="43">
        <f t="shared" si="256"/>
        <v>76.828390616558892</v>
      </c>
      <c r="BL245">
        <f t="shared" si="252"/>
        <v>13.260370749032548</v>
      </c>
      <c r="BM245" s="43">
        <f t="shared" si="253"/>
        <v>70.741778106284713</v>
      </c>
    </row>
    <row r="246" spans="14:65" x14ac:dyDescent="0.25">
      <c r="N246" s="9">
        <v>28</v>
      </c>
      <c r="O246" s="34">
        <f t="shared" si="254"/>
        <v>1905.4607179632501</v>
      </c>
      <c r="P246" s="33" t="str">
        <f t="shared" si="206"/>
        <v>19.6196196196196</v>
      </c>
      <c r="Q246" s="4" t="str">
        <f t="shared" si="207"/>
        <v>1+2.89799490212315i</v>
      </c>
      <c r="R246" s="4">
        <f t="shared" si="219"/>
        <v>3.0656768343600351</v>
      </c>
      <c r="S246" s="4">
        <f t="shared" si="220"/>
        <v>1.238523645900681</v>
      </c>
      <c r="T246" s="4" t="str">
        <f t="shared" si="208"/>
        <v>1+0.0450160840772948i</v>
      </c>
      <c r="U246" s="4">
        <f t="shared" si="221"/>
        <v>1.0010127111209197</v>
      </c>
      <c r="V246" s="4">
        <f t="shared" si="222"/>
        <v>4.4985713413591588E-2</v>
      </c>
      <c r="W246" t="str">
        <f t="shared" si="209"/>
        <v>1-0.0261895435955007i</v>
      </c>
      <c r="X246" s="4">
        <f t="shared" si="223"/>
        <v>1.0003428873110163</v>
      </c>
      <c r="Y246" s="4">
        <f t="shared" si="224"/>
        <v>-2.6183558323955042E-2</v>
      </c>
      <c r="Z246" t="str">
        <f t="shared" si="210"/>
        <v>0.999996369219452+0.0175309597945392i</v>
      </c>
      <c r="AA246" s="4">
        <f t="shared" si="225"/>
        <v>1.0001500252479147</v>
      </c>
      <c r="AB246" s="4">
        <f t="shared" si="226"/>
        <v>1.7529227800830618E-2</v>
      </c>
      <c r="AC246" s="47" t="str">
        <f t="shared" si="227"/>
        <v>2.09778007235451-6.05435150044145i</v>
      </c>
      <c r="AD246" s="20">
        <f t="shared" si="228"/>
        <v>16.133750831266347</v>
      </c>
      <c r="AE246" s="43">
        <f t="shared" si="229"/>
        <v>-70.889244375988667</v>
      </c>
      <c r="AF246" t="str">
        <f t="shared" si="211"/>
        <v>72.2956529813786</v>
      </c>
      <c r="AG246" t="str">
        <f t="shared" si="212"/>
        <v>1+2.36334441405798i</v>
      </c>
      <c r="AH246">
        <f t="shared" si="230"/>
        <v>2.5662028017011935</v>
      </c>
      <c r="AI246">
        <f t="shared" si="231"/>
        <v>1.1705113415297288</v>
      </c>
      <c r="AJ246" t="str">
        <f t="shared" si="213"/>
        <v>1+0.0450160840772948i</v>
      </c>
      <c r="AK246">
        <f t="shared" si="232"/>
        <v>1.0010127111209197</v>
      </c>
      <c r="AL246">
        <f t="shared" si="233"/>
        <v>4.4985713413591588E-2</v>
      </c>
      <c r="AM246" t="str">
        <f t="shared" si="214"/>
        <v>1-0.00579609521086556i</v>
      </c>
      <c r="AN246">
        <f t="shared" si="234"/>
        <v>1.0000167972187735</v>
      </c>
      <c r="AO246">
        <f t="shared" si="235"/>
        <v>-5.7960303061091872E-3</v>
      </c>
      <c r="AP246" s="41" t="str">
        <f t="shared" si="236"/>
        <v>11.9986125545458-25.5214192522108i</v>
      </c>
      <c r="AQ246">
        <f t="shared" si="237"/>
        <v>29.005361941088353</v>
      </c>
      <c r="AR246" s="43">
        <f t="shared" si="238"/>
        <v>-64.819956299335615</v>
      </c>
      <c r="AS246" t="str">
        <f t="shared" si="215"/>
        <v>-0.0000166666666666667</v>
      </c>
      <c r="AT246" t="str">
        <f t="shared" si="216"/>
        <v>0.0000407060334741495i</v>
      </c>
      <c r="AU246">
        <f t="shared" si="239"/>
        <v>4.0706033474149498E-5</v>
      </c>
      <c r="AV246">
        <f t="shared" si="240"/>
        <v>1.5707963267948966</v>
      </c>
      <c r="AW246" t="str">
        <f t="shared" si="217"/>
        <v>1+0.0406708206424247i</v>
      </c>
      <c r="AX246">
        <f t="shared" si="241"/>
        <v>1.0008267160961124</v>
      </c>
      <c r="AY246">
        <f t="shared" si="242"/>
        <v>4.0648418125040157E-2</v>
      </c>
      <c r="AZ246" t="str">
        <f t="shared" si="218"/>
        <v>1+1.38280790184244i</v>
      </c>
      <c r="BA246">
        <f t="shared" si="243"/>
        <v>1.7065045248688593</v>
      </c>
      <c r="BB246">
        <f t="shared" si="244"/>
        <v>0.94469115098485457</v>
      </c>
      <c r="BC246" s="41" t="str">
        <f t="shared" si="245"/>
        <v>-0.548616745907086+0.431752406363703i</v>
      </c>
      <c r="BD246">
        <f t="shared" si="246"/>
        <v>-3.1212296305340077</v>
      </c>
      <c r="BE246" s="43">
        <f t="shared" si="247"/>
        <v>141.7978330923402</v>
      </c>
      <c r="BF246" s="41" t="str">
        <f t="shared" si="248"/>
        <v>1.46310355236343+4.22724021301075i</v>
      </c>
      <c r="BG246" s="20">
        <f t="shared" si="249"/>
        <v>13.012521200732333</v>
      </c>
      <c r="BH246" s="43">
        <f t="shared" si="250"/>
        <v>70.908588716351503</v>
      </c>
      <c r="BI246" s="41" t="str">
        <f t="shared" si="255"/>
        <v>4.43629440088413+19.1819078245292i</v>
      </c>
      <c r="BJ246" s="20">
        <f t="shared" si="251"/>
        <v>25.884132310554335</v>
      </c>
      <c r="BK246" s="43">
        <f t="shared" si="256"/>
        <v>76.977876793004569</v>
      </c>
      <c r="BL246">
        <f t="shared" si="252"/>
        <v>13.012521200732333</v>
      </c>
      <c r="BM246" s="43">
        <f t="shared" si="253"/>
        <v>70.908588716351503</v>
      </c>
    </row>
    <row r="247" spans="14:65" x14ac:dyDescent="0.25">
      <c r="N247" s="9">
        <v>29</v>
      </c>
      <c r="O247" s="34">
        <f t="shared" si="254"/>
        <v>1949.8445997580463</v>
      </c>
      <c r="P247" s="33" t="str">
        <f t="shared" si="206"/>
        <v>19.6196196196196</v>
      </c>
      <c r="Q247" s="4" t="str">
        <f t="shared" si="207"/>
        <v>1+2.96549787500795i</v>
      </c>
      <c r="R247" s="4">
        <f t="shared" si="219"/>
        <v>3.1295650890621638</v>
      </c>
      <c r="S247" s="4">
        <f t="shared" si="220"/>
        <v>1.2455594886175951</v>
      </c>
      <c r="T247" s="4" t="str">
        <f t="shared" si="208"/>
        <v>1+0.0460646433762168i</v>
      </c>
      <c r="U247" s="4">
        <f t="shared" si="221"/>
        <v>1.0010604134463503</v>
      </c>
      <c r="V247" s="4">
        <f t="shared" si="222"/>
        <v>4.6032102485262703E-2</v>
      </c>
      <c r="W247" t="str">
        <f t="shared" si="209"/>
        <v>1-0.026799576432307i</v>
      </c>
      <c r="X247" s="4">
        <f t="shared" si="223"/>
        <v>1.0003590441921095</v>
      </c>
      <c r="Y247" s="4">
        <f t="shared" si="224"/>
        <v>-2.6793163222612236E-2</v>
      </c>
      <c r="Z247" t="str">
        <f t="shared" si="210"/>
        <v>0.999996198106037+0.0179393083057075i</v>
      </c>
      <c r="AA247" s="4">
        <f t="shared" si="225"/>
        <v>1.0001570951650625</v>
      </c>
      <c r="AB247" s="4">
        <f t="shared" si="226"/>
        <v>1.7937452456753177E-2</v>
      </c>
      <c r="AC247" s="47" t="str">
        <f t="shared" si="227"/>
        <v>2.01346074714498-5.94534665954227i</v>
      </c>
      <c r="AD247" s="20">
        <f t="shared" si="228"/>
        <v>15.955091301270034</v>
      </c>
      <c r="AE247" s="43">
        <f t="shared" si="229"/>
        <v>-71.290732129191426</v>
      </c>
      <c r="AF247" t="str">
        <f t="shared" si="211"/>
        <v>72.2956529813786</v>
      </c>
      <c r="AG247" t="str">
        <f t="shared" si="212"/>
        <v>1+2.41839377725138i</v>
      </c>
      <c r="AH247">
        <f t="shared" si="230"/>
        <v>2.6169884336481499</v>
      </c>
      <c r="AI247">
        <f t="shared" si="231"/>
        <v>1.1787085198946012</v>
      </c>
      <c r="AJ247" t="str">
        <f t="shared" si="213"/>
        <v>1+0.0460646433762168i</v>
      </c>
      <c r="AK247">
        <f t="shared" si="232"/>
        <v>1.0010604134463503</v>
      </c>
      <c r="AL247">
        <f t="shared" si="233"/>
        <v>4.6032102485262703E-2</v>
      </c>
      <c r="AM247" t="str">
        <f t="shared" si="214"/>
        <v>1-0.00593110361187073i</v>
      </c>
      <c r="AN247">
        <f t="shared" si="234"/>
        <v>1.0000175888403438</v>
      </c>
      <c r="AO247">
        <f t="shared" si="235"/>
        <v>-5.9310340652373407E-3</v>
      </c>
      <c r="AP247" s="41" t="str">
        <f t="shared" si="236"/>
        <v>11.5836810127177-25.112421615104i</v>
      </c>
      <c r="AQ247">
        <f t="shared" si="237"/>
        <v>28.835566157105092</v>
      </c>
      <c r="AR247" s="43">
        <f t="shared" si="238"/>
        <v>-65.237401491639943</v>
      </c>
      <c r="AS247" t="str">
        <f t="shared" si="215"/>
        <v>-0.0000166666666666667</v>
      </c>
      <c r="AT247" t="str">
        <f t="shared" si="216"/>
        <v>0.0000416541987976429i</v>
      </c>
      <c r="AU247">
        <f t="shared" si="239"/>
        <v>4.1654198797642903E-5</v>
      </c>
      <c r="AV247">
        <f t="shared" si="240"/>
        <v>1.5707963267948966</v>
      </c>
      <c r="AW247" t="str">
        <f t="shared" si="217"/>
        <v>1+0.0416181657537003i</v>
      </c>
      <c r="AX247">
        <f t="shared" si="241"/>
        <v>1.0008656611757156</v>
      </c>
      <c r="AY247">
        <f t="shared" si="242"/>
        <v>4.1594162145026564E-2</v>
      </c>
      <c r="AZ247" t="str">
        <f t="shared" si="218"/>
        <v>1+1.41501763562581i</v>
      </c>
      <c r="BA247">
        <f t="shared" si="243"/>
        <v>1.7327073928197043</v>
      </c>
      <c r="BB247">
        <f t="shared" si="244"/>
        <v>0.95558454098117906</v>
      </c>
      <c r="BC247" s="41" t="str">
        <f t="shared" si="245"/>
        <v>-0.548574051851364+0.422950373186643i</v>
      </c>
      <c r="BD247">
        <f t="shared" si="246"/>
        <v>-3.189211933067944</v>
      </c>
      <c r="BE247" s="43">
        <f t="shared" si="247"/>
        <v>142.36779122287462</v>
      </c>
      <c r="BF247" s="41" t="str">
        <f t="shared" si="248"/>
        <v>1.41005426807237+4.1130568810877i</v>
      </c>
      <c r="BG247" s="20">
        <f t="shared" si="249"/>
        <v>12.765879368202086</v>
      </c>
      <c r="BH247" s="43">
        <f t="shared" si="250"/>
        <v>71.077059093683175</v>
      </c>
      <c r="BI247" s="41" t="str">
        <f t="shared" si="255"/>
        <v>4.2668012652283+18.6753450844014i</v>
      </c>
      <c r="BJ247" s="20">
        <f t="shared" si="251"/>
        <v>25.646354224037164</v>
      </c>
      <c r="BK247" s="43">
        <f t="shared" si="256"/>
        <v>77.130389731234715</v>
      </c>
      <c r="BL247">
        <f t="shared" si="252"/>
        <v>12.765879368202086</v>
      </c>
      <c r="BM247" s="43">
        <f t="shared" si="253"/>
        <v>71.077059093683175</v>
      </c>
    </row>
    <row r="248" spans="14:65" x14ac:dyDescent="0.25">
      <c r="N248" s="9">
        <v>30</v>
      </c>
      <c r="O248" s="34">
        <f t="shared" si="254"/>
        <v>1995.2623149688804</v>
      </c>
      <c r="P248" s="33" t="str">
        <f t="shared" si="206"/>
        <v>19.6196196196196</v>
      </c>
      <c r="Q248" s="4" t="str">
        <f t="shared" si="207"/>
        <v>1+3.03457319411911i</v>
      </c>
      <c r="R248" s="4">
        <f t="shared" si="219"/>
        <v>3.1950953773661062</v>
      </c>
      <c r="S248" s="4">
        <f t="shared" si="220"/>
        <v>1.2524675873942186</v>
      </c>
      <c r="T248" s="4" t="str">
        <f t="shared" si="208"/>
        <v>1+0.0471376267587948i</v>
      </c>
      <c r="U248" s="4">
        <f t="shared" si="221"/>
        <v>1.001110361476921</v>
      </c>
      <c r="V248" s="4">
        <f t="shared" si="222"/>
        <v>4.7102760654292919E-2</v>
      </c>
      <c r="W248" t="str">
        <f t="shared" si="209"/>
        <v>1-0.0274238187592723i</v>
      </c>
      <c r="X248" s="4">
        <f t="shared" si="223"/>
        <v>1.0003759622438664</v>
      </c>
      <c r="Y248" s="4">
        <f t="shared" si="224"/>
        <v>-2.7416947020751269E-2</v>
      </c>
      <c r="Z248" t="str">
        <f t="shared" si="210"/>
        <v>0.999996018928294+0.0183571684755945i</v>
      </c>
      <c r="AA248" s="4">
        <f t="shared" si="225"/>
        <v>1.0001644982236064</v>
      </c>
      <c r="AB248" s="4">
        <f t="shared" si="226"/>
        <v>1.8355179915273662E-2</v>
      </c>
      <c r="AC248" s="47" t="str">
        <f t="shared" si="227"/>
        <v>1.93217484671773-5.83718496301508i</v>
      </c>
      <c r="AD248" s="20">
        <f t="shared" si="228"/>
        <v>15.775610508515696</v>
      </c>
      <c r="AE248" s="43">
        <f t="shared" si="229"/>
        <v>-71.684867038486729</v>
      </c>
      <c r="AF248" t="str">
        <f t="shared" si="211"/>
        <v>72.2956529813786</v>
      </c>
      <c r="AG248" t="str">
        <f t="shared" si="212"/>
        <v>1+2.47472540483673i</v>
      </c>
      <c r="AH248">
        <f t="shared" si="230"/>
        <v>2.6691320367011291</v>
      </c>
      <c r="AI248">
        <f t="shared" si="231"/>
        <v>1.1867731628723965</v>
      </c>
      <c r="AJ248" t="str">
        <f t="shared" si="213"/>
        <v>1+0.0471376267587948i</v>
      </c>
      <c r="AK248">
        <f t="shared" si="232"/>
        <v>1.001110361476921</v>
      </c>
      <c r="AL248">
        <f t="shared" si="233"/>
        <v>4.7102760654292919E-2</v>
      </c>
      <c r="AM248" t="str">
        <f t="shared" si="214"/>
        <v>1-0.0060692567625184i</v>
      </c>
      <c r="AN248">
        <f t="shared" si="234"/>
        <v>1.0000184177692175</v>
      </c>
      <c r="AO248">
        <f t="shared" si="235"/>
        <v>-6.0691822420322339E-3</v>
      </c>
      <c r="AP248" s="41" t="str">
        <f t="shared" si="236"/>
        <v>11.1820582832001-24.7034590860386i</v>
      </c>
      <c r="AQ248">
        <f t="shared" si="237"/>
        <v>28.664641633141621</v>
      </c>
      <c r="AR248" s="43">
        <f t="shared" si="238"/>
        <v>-65.646042610638489</v>
      </c>
      <c r="AS248" t="str">
        <f t="shared" si="215"/>
        <v>-0.0000166666666666667</v>
      </c>
      <c r="AT248" t="str">
        <f t="shared" si="216"/>
        <v>0.0000426244497286974i</v>
      </c>
      <c r="AU248">
        <f t="shared" si="239"/>
        <v>4.2624449728697402E-5</v>
      </c>
      <c r="AV248">
        <f t="shared" si="240"/>
        <v>1.5707963267948966</v>
      </c>
      <c r="AW248" t="str">
        <f t="shared" si="217"/>
        <v>1+0.0425875773673405i</v>
      </c>
      <c r="AX248">
        <f t="shared" si="241"/>
        <v>1.0009064400562218</v>
      </c>
      <c r="AY248">
        <f t="shared" si="242"/>
        <v>4.2561858295103616E-2</v>
      </c>
      <c r="AZ248" t="str">
        <f t="shared" si="218"/>
        <v>1+1.44797763048957i</v>
      </c>
      <c r="BA248">
        <f t="shared" si="243"/>
        <v>1.75972702951287</v>
      </c>
      <c r="BB248">
        <f t="shared" si="244"/>
        <v>0.96639452521228575</v>
      </c>
      <c r="BC248" s="41" t="str">
        <f t="shared" si="245"/>
        <v>-0.548529352808356+0.414372426674184i</v>
      </c>
      <c r="BD248">
        <f t="shared" si="246"/>
        <v>-3.2551642902911366</v>
      </c>
      <c r="BE248" s="43">
        <f t="shared" si="247"/>
        <v>142.93171279066976</v>
      </c>
      <c r="BF248" s="41" t="str">
        <f t="shared" si="248"/>
        <v>1.35891387988795+4.00250726997857i</v>
      </c>
      <c r="BG248" s="20">
        <f t="shared" si="249"/>
        <v>12.520446218224546</v>
      </c>
      <c r="BH248" s="43">
        <f t="shared" si="250"/>
        <v>71.246845752183077</v>
      </c>
      <c r="BI248" s="41" t="str">
        <f t="shared" si="255"/>
        <v>4.10274509557917+18.1841090506142i</v>
      </c>
      <c r="BJ248" s="20">
        <f t="shared" si="251"/>
        <v>25.409477342850465</v>
      </c>
      <c r="BK248" s="43">
        <f t="shared" si="256"/>
        <v>77.285670180031246</v>
      </c>
      <c r="BL248">
        <f t="shared" si="252"/>
        <v>12.520446218224546</v>
      </c>
      <c r="BM248" s="43">
        <f t="shared" si="253"/>
        <v>71.246845752183077</v>
      </c>
    </row>
    <row r="249" spans="14:65" x14ac:dyDescent="0.25">
      <c r="N249" s="9">
        <v>31</v>
      </c>
      <c r="O249" s="34">
        <f t="shared" si="254"/>
        <v>2041.7379446695318</v>
      </c>
      <c r="P249" s="33" t="str">
        <f t="shared" si="206"/>
        <v>19.6196196196196</v>
      </c>
      <c r="Q249" s="4" t="str">
        <f t="shared" si="207"/>
        <v>1+3.1052574841051i</v>
      </c>
      <c r="R249" s="4">
        <f t="shared" si="219"/>
        <v>3.2623034871989969</v>
      </c>
      <c r="S249" s="4">
        <f t="shared" si="220"/>
        <v>1.2592489667736637</v>
      </c>
      <c r="T249" s="4" t="str">
        <f t="shared" si="208"/>
        <v>1+0.0482356031350203i</v>
      </c>
      <c r="U249" s="4">
        <f t="shared" si="221"/>
        <v>1.0011626608148143</v>
      </c>
      <c r="V249" s="4">
        <f t="shared" si="222"/>
        <v>4.8198245773790317E-2</v>
      </c>
      <c r="W249" t="str">
        <f t="shared" si="209"/>
        <v>1-0.0280626015579407i</v>
      </c>
      <c r="X249" s="4">
        <f t="shared" si="223"/>
        <v>1.0003936773121869</v>
      </c>
      <c r="Y249" s="4">
        <f t="shared" si="224"/>
        <v>-2.8055238513941157E-2</v>
      </c>
      <c r="Z249" t="str">
        <f t="shared" si="210"/>
        <v>0.999995831306165+0.0187847618591929i</v>
      </c>
      <c r="AA249" s="4">
        <f t="shared" si="225"/>
        <v>1.0001722501188557</v>
      </c>
      <c r="AB249" s="4">
        <f t="shared" si="226"/>
        <v>1.8782631098235372E-2</v>
      </c>
      <c r="AC249" s="47" t="str">
        <f t="shared" si="227"/>
        <v>1.85384310917168-5.72993318727705i</v>
      </c>
      <c r="AD249" s="20">
        <f t="shared" si="228"/>
        <v>15.59534008112341</v>
      </c>
      <c r="AE249" s="43">
        <f t="shared" si="229"/>
        <v>-72.071707339729912</v>
      </c>
      <c r="AF249" t="str">
        <f t="shared" si="211"/>
        <v>72.2956529813786</v>
      </c>
      <c r="AG249" t="str">
        <f t="shared" si="212"/>
        <v>1+2.53236916458857i</v>
      </c>
      <c r="AH249">
        <f t="shared" si="230"/>
        <v>2.7226629585314099</v>
      </c>
      <c r="AI249">
        <f t="shared" si="231"/>
        <v>1.19470534930212</v>
      </c>
      <c r="AJ249" t="str">
        <f t="shared" si="213"/>
        <v>1+0.0482356031350203i</v>
      </c>
      <c r="AK249">
        <f t="shared" si="232"/>
        <v>1.0011626608148143</v>
      </c>
      <c r="AL249">
        <f t="shared" si="233"/>
        <v>4.8198245773790317E-2</v>
      </c>
      <c r="AM249" t="str">
        <f t="shared" si="214"/>
        <v>1-0.00621062791343763i</v>
      </c>
      <c r="AN249">
        <f t="shared" si="234"/>
        <v>1.0000192857635692</v>
      </c>
      <c r="AO249">
        <f t="shared" si="235"/>
        <v>-6.2105480633812375E-3</v>
      </c>
      <c r="AP249" s="41" t="str">
        <f t="shared" si="236"/>
        <v>10.7935197252166-24.2949535043465i</v>
      </c>
      <c r="AQ249">
        <f t="shared" si="237"/>
        <v>28.492626425675923</v>
      </c>
      <c r="AR249" s="43">
        <f t="shared" si="238"/>
        <v>-66.045856406436769</v>
      </c>
      <c r="AS249" t="str">
        <f t="shared" si="215"/>
        <v>-0.0000166666666666667</v>
      </c>
      <c r="AT249" t="str">
        <f t="shared" si="216"/>
        <v>0.0000436173007071994i</v>
      </c>
      <c r="AU249">
        <f t="shared" si="239"/>
        <v>4.3617300707199402E-5</v>
      </c>
      <c r="AV249">
        <f t="shared" si="240"/>
        <v>1.5707963267948966</v>
      </c>
      <c r="AW249" t="str">
        <f t="shared" si="217"/>
        <v>1+0.0435795694782138i</v>
      </c>
      <c r="AX249">
        <f t="shared" si="241"/>
        <v>1.0009491390055274</v>
      </c>
      <c r="AY249">
        <f t="shared" si="242"/>
        <v>4.3552012406964602E-2</v>
      </c>
      <c r="AZ249" t="str">
        <f t="shared" si="218"/>
        <v>1+1.48170536225927i</v>
      </c>
      <c r="BA249">
        <f t="shared" si="243"/>
        <v>1.7875823842687293</v>
      </c>
      <c r="BB249">
        <f t="shared" si="244"/>
        <v>0.97711672970392816</v>
      </c>
      <c r="BC249" s="41" t="str">
        <f t="shared" si="245"/>
        <v>-0.548482554971083+0.406014006769797i</v>
      </c>
      <c r="BD249">
        <f t="shared" si="246"/>
        <v>-3.3191195973154644</v>
      </c>
      <c r="BE249" s="43">
        <f t="shared" si="247"/>
        <v>143.48931820343992</v>
      </c>
      <c r="BF249" s="41" t="str">
        <f t="shared" si="248"/>
        <v>1.30963252685557+3.89545466304869i</v>
      </c>
      <c r="BG249" s="20">
        <f t="shared" si="249"/>
        <v>12.276220483807949</v>
      </c>
      <c r="BH249" s="43">
        <f t="shared" si="250"/>
        <v>71.417610863710024</v>
      </c>
      <c r="BI249" s="41" t="str">
        <f t="shared" si="255"/>
        <v>3.94403414056806+17.7076783617517i</v>
      </c>
      <c r="BJ249" s="20">
        <f t="shared" si="251"/>
        <v>25.173506828360477</v>
      </c>
      <c r="BK249" s="43">
        <f t="shared" si="256"/>
        <v>77.443461797003181</v>
      </c>
      <c r="BL249">
        <f t="shared" si="252"/>
        <v>12.276220483807949</v>
      </c>
      <c r="BM249" s="43">
        <f t="shared" si="253"/>
        <v>71.417610863710024</v>
      </c>
    </row>
    <row r="250" spans="14:65" x14ac:dyDescent="0.25">
      <c r="N250" s="9">
        <v>32</v>
      </c>
      <c r="O250" s="34">
        <f t="shared" si="254"/>
        <v>2089.2961308540398</v>
      </c>
      <c r="P250" s="33" t="str">
        <f t="shared" si="206"/>
        <v>19.6196196196196</v>
      </c>
      <c r="Q250" s="4" t="str">
        <f t="shared" si="207"/>
        <v>1+3.17758822271213i</v>
      </c>
      <c r="R250" s="4">
        <f t="shared" si="219"/>
        <v>3.3312260375301515</v>
      </c>
      <c r="S250" s="4">
        <f t="shared" si="220"/>
        <v>1.2659047266256771</v>
      </c>
      <c r="T250" s="4" t="str">
        <f t="shared" si="208"/>
        <v>1+0.0493591546665021i</v>
      </c>
      <c r="U250" s="4">
        <f t="shared" si="221"/>
        <v>1.0012174220165126</v>
      </c>
      <c r="V250" s="4">
        <f t="shared" si="222"/>
        <v>4.9319128161062001E-2</v>
      </c>
      <c r="W250" t="str">
        <f t="shared" si="209"/>
        <v>1-0.0287162635194079i</v>
      </c>
      <c r="X250" s="4">
        <f t="shared" si="223"/>
        <v>1.0004122269297373</v>
      </c>
      <c r="Y250" s="4">
        <f t="shared" si="224"/>
        <v>-2.8708374051188482E-2</v>
      </c>
      <c r="Z250" t="str">
        <f t="shared" si="210"/>
        <v>0.999995634841678+0.019222315172175i</v>
      </c>
      <c r="AA250" s="4">
        <f t="shared" si="225"/>
        <v>1.0001803672853156</v>
      </c>
      <c r="AB250" s="4">
        <f t="shared" si="226"/>
        <v>1.9220032042907429E-2</v>
      </c>
      <c r="AC250" s="47" t="str">
        <f t="shared" si="227"/>
        <v>1.77838589057888-5.62365308135416i</v>
      </c>
      <c r="AD250" s="20">
        <f t="shared" si="228"/>
        <v>15.414310887584008</v>
      </c>
      <c r="AE250" s="43">
        <f t="shared" si="229"/>
        <v>-72.451315596400661</v>
      </c>
      <c r="AF250" t="str">
        <f t="shared" si="211"/>
        <v>72.2956529813786</v>
      </c>
      <c r="AG250" t="str">
        <f t="shared" si="212"/>
        <v>1+2.59135561999136i</v>
      </c>
      <c r="AH250">
        <f t="shared" si="230"/>
        <v>2.7776111947608517</v>
      </c>
      <c r="AI250">
        <f t="shared" si="231"/>
        <v>1.2025052911782117</v>
      </c>
      <c r="AJ250" t="str">
        <f t="shared" si="213"/>
        <v>1+0.0493591546665021i</v>
      </c>
      <c r="AK250">
        <f t="shared" si="232"/>
        <v>1.0012174220165126</v>
      </c>
      <c r="AL250">
        <f t="shared" si="233"/>
        <v>4.9319128161062001E-2</v>
      </c>
      <c r="AM250" t="str">
        <f t="shared" si="214"/>
        <v>1-0.00635529202148401i</v>
      </c>
      <c r="AN250">
        <f t="shared" si="234"/>
        <v>1.0000201946644269</v>
      </c>
      <c r="AO250">
        <f t="shared" si="235"/>
        <v>-6.3552064607003802E-3</v>
      </c>
      <c r="AP250" s="41" t="str">
        <f t="shared" si="236"/>
        <v>10.4178282572041-23.8873054717676i</v>
      </c>
      <c r="AQ250">
        <f t="shared" si="237"/>
        <v>28.319557984724884</v>
      </c>
      <c r="AR250" s="43">
        <f t="shared" si="238"/>
        <v>-66.436826641900467</v>
      </c>
      <c r="AS250" t="str">
        <f t="shared" si="215"/>
        <v>-0.0000166666666666667</v>
      </c>
      <c r="AT250" t="str">
        <f t="shared" si="216"/>
        <v>0.0000446332781558795i</v>
      </c>
      <c r="AU250">
        <f t="shared" si="239"/>
        <v>4.4633278155879499E-5</v>
      </c>
      <c r="AV250">
        <f t="shared" si="240"/>
        <v>1.5707963267948966</v>
      </c>
      <c r="AW250" t="str">
        <f t="shared" si="217"/>
        <v>1+0.0445946680536687i</v>
      </c>
      <c r="AX250">
        <f t="shared" si="241"/>
        <v>1.0009938483421448</v>
      </c>
      <c r="AY250">
        <f t="shared" si="242"/>
        <v>4.4565141702985464E-2</v>
      </c>
      <c r="AZ250" t="str">
        <f t="shared" si="218"/>
        <v>1+1.51621871382473i</v>
      </c>
      <c r="BA250">
        <f t="shared" si="243"/>
        <v>1.8162927044263317</v>
      </c>
      <c r="BB250">
        <f t="shared" si="244"/>
        <v>0.9877469780322895</v>
      </c>
      <c r="BC250" s="41" t="str">
        <f t="shared" si="245"/>
        <v>-0.548433560177408+0.397870668965987i</v>
      </c>
      <c r="BD250">
        <f t="shared" si="246"/>
        <v>-3.3811121158857604</v>
      </c>
      <c r="BE250" s="43">
        <f t="shared" si="247"/>
        <v>144.04033853506792</v>
      </c>
      <c r="BF250" s="41" t="str">
        <f t="shared" si="248"/>
        <v>1.26216010817157+3.791767664574i</v>
      </c>
      <c r="BG250" s="20">
        <f t="shared" si="249"/>
        <v>12.033198771698238</v>
      </c>
      <c r="BH250" s="43">
        <f t="shared" si="250"/>
        <v>71.589022938667227</v>
      </c>
      <c r="BI250" s="41" t="str">
        <f t="shared" si="255"/>
        <v>3.79057156743181+17.2455482807933i</v>
      </c>
      <c r="BJ250" s="20">
        <f t="shared" si="251"/>
        <v>24.9384458688391</v>
      </c>
      <c r="BK250" s="43">
        <f t="shared" si="256"/>
        <v>77.603511893167436</v>
      </c>
      <c r="BL250">
        <f t="shared" si="252"/>
        <v>12.033198771698238</v>
      </c>
      <c r="BM250" s="43">
        <f t="shared" si="253"/>
        <v>71.589022938667227</v>
      </c>
    </row>
    <row r="251" spans="14:65" x14ac:dyDescent="0.25">
      <c r="N251" s="9">
        <v>33</v>
      </c>
      <c r="O251" s="34">
        <f t="shared" si="254"/>
        <v>2137.9620895022344</v>
      </c>
      <c r="P251" s="33" t="str">
        <f t="shared" si="206"/>
        <v>19.6196196196196</v>
      </c>
      <c r="Q251" s="4" t="str">
        <f t="shared" si="207"/>
        <v>1+3.25160376065518i</v>
      </c>
      <c r="R251" s="4">
        <f t="shared" si="219"/>
        <v>3.4019005006476757</v>
      </c>
      <c r="S251" s="4">
        <f t="shared" si="220"/>
        <v>1.272436036334474</v>
      </c>
      <c r="T251" s="4" t="str">
        <f t="shared" si="208"/>
        <v>1+0.0505088770751334i</v>
      </c>
      <c r="U251" s="4">
        <f t="shared" si="221"/>
        <v>1.0012747608241162</v>
      </c>
      <c r="V251" s="4">
        <f t="shared" si="222"/>
        <v>5.0465990850374329E-2</v>
      </c>
      <c r="W251" t="str">
        <f t="shared" si="209"/>
        <v>1-0.0293851512238974i</v>
      </c>
      <c r="X251" s="4">
        <f t="shared" si="223"/>
        <v>1.0004316503951938</v>
      </c>
      <c r="Y251" s="4">
        <f t="shared" si="224"/>
        <v>-2.9376697703375906E-2</v>
      </c>
      <c r="Z251" t="str">
        <f t="shared" si="210"/>
        <v>0.999995429118104+0.0196700604110987i</v>
      </c>
      <c r="AA251" s="4">
        <f t="shared" si="225"/>
        <v>1.0001888669314796</v>
      </c>
      <c r="AB251" s="4">
        <f t="shared" si="226"/>
        <v>1.9667614018957714E-2</v>
      </c>
      <c r="AC251" s="47" t="str">
        <f t="shared" si="227"/>
        <v>1.70572341137633-5.51840152884871i</v>
      </c>
      <c r="AD251" s="20">
        <f t="shared" si="228"/>
        <v>15.232553036498715</v>
      </c>
      <c r="AE251" s="43">
        <f t="shared" si="229"/>
        <v>-72.82375836846191</v>
      </c>
      <c r="AF251" t="str">
        <f t="shared" si="211"/>
        <v>72.2956529813786</v>
      </c>
      <c r="AG251" t="str">
        <f t="shared" si="212"/>
        <v>1+2.6517160464445i</v>
      </c>
      <c r="AH251">
        <f t="shared" si="230"/>
        <v>2.8340074084185543</v>
      </c>
      <c r="AI251">
        <f t="shared" si="231"/>
        <v>1.2101733267764727</v>
      </c>
      <c r="AJ251" t="str">
        <f t="shared" si="213"/>
        <v>1+0.0505088770751334i</v>
      </c>
      <c r="AK251">
        <f t="shared" si="232"/>
        <v>1.0012747608241162</v>
      </c>
      <c r="AL251">
        <f t="shared" si="233"/>
        <v>5.0465990850374329E-2</v>
      </c>
      <c r="AM251" t="str">
        <f t="shared" si="214"/>
        <v>1-0.00650332578948236i</v>
      </c>
      <c r="AN251">
        <f t="shared" si="234"/>
        <v>1.000021146399577</v>
      </c>
      <c r="AO251">
        <f t="shared" si="235"/>
        <v>-6.5032341095556329E-3</v>
      </c>
      <c r="AP251" s="41" t="str">
        <f t="shared" si="236"/>
        <v>10.0547358764504-23.4808944013432i</v>
      </c>
      <c r="AQ251">
        <f t="shared" si="237"/>
        <v>28.145473123004173</v>
      </c>
      <c r="AR251" s="43">
        <f t="shared" si="238"/>
        <v>-66.818943686589009</v>
      </c>
      <c r="AS251" t="str">
        <f t="shared" si="215"/>
        <v>-0.0000166666666666667</v>
      </c>
      <c r="AT251" t="str">
        <f t="shared" si="216"/>
        <v>0.0000456729207594292i</v>
      </c>
      <c r="AU251">
        <f t="shared" si="239"/>
        <v>4.5672920759429197E-5</v>
      </c>
      <c r="AV251">
        <f t="shared" si="240"/>
        <v>1.5707963267948966</v>
      </c>
      <c r="AW251" t="str">
        <f t="shared" si="217"/>
        <v>1+0.0456334113124055i</v>
      </c>
      <c r="AX251">
        <f t="shared" si="241"/>
        <v>1.0010406626246544</v>
      </c>
      <c r="AY251">
        <f t="shared" si="242"/>
        <v>4.5601775033733513E-2</v>
      </c>
      <c r="AZ251" t="str">
        <f t="shared" si="218"/>
        <v>1+1.55153598462178i</v>
      </c>
      <c r="BA251">
        <f t="shared" si="243"/>
        <v>1.8458775451194687</v>
      </c>
      <c r="BB251">
        <f t="shared" si="244"/>
        <v>0.99828129647622244</v>
      </c>
      <c r="BC251" s="41" t="str">
        <f t="shared" si="245"/>
        <v>-0.548382265711076+0.389938081887837i</v>
      </c>
      <c r="BD251">
        <f t="shared" si="246"/>
        <v>-3.4411773623488844</v>
      </c>
      <c r="BE251" s="43">
        <f t="shared" si="247"/>
        <v>144.58451580719759</v>
      </c>
      <c r="BF251" s="41" t="str">
        <f t="shared" si="248"/>
        <v>1.2164464382392+3.69132004875678i</v>
      </c>
      <c r="BG251" s="20">
        <f t="shared" si="249"/>
        <v>11.791375674149823</v>
      </c>
      <c r="BH251" s="43">
        <f t="shared" si="250"/>
        <v>71.76075743873561</v>
      </c>
      <c r="BI251" s="41" t="str">
        <f t="shared" si="255"/>
        <v>3.64225608281631+16.797230494283i</v>
      </c>
      <c r="BJ251" s="20">
        <f t="shared" si="251"/>
        <v>24.704295760655292</v>
      </c>
      <c r="BK251" s="43">
        <f t="shared" si="256"/>
        <v>77.765572120608581</v>
      </c>
      <c r="BL251">
        <f t="shared" si="252"/>
        <v>11.791375674149823</v>
      </c>
      <c r="BM251" s="43">
        <f t="shared" si="253"/>
        <v>71.76075743873561</v>
      </c>
    </row>
    <row r="252" spans="14:65" x14ac:dyDescent="0.25">
      <c r="N252" s="9">
        <v>34</v>
      </c>
      <c r="O252" s="34">
        <f t="shared" si="254"/>
        <v>2187.7616239495528</v>
      </c>
      <c r="P252" s="33" t="str">
        <f t="shared" si="206"/>
        <v>19.6196196196196</v>
      </c>
      <c r="Q252" s="4" t="str">
        <f t="shared" si="207"/>
        <v>1+3.32734334195219i</v>
      </c>
      <c r="R252" s="4">
        <f t="shared" si="219"/>
        <v>3.4743652247905037</v>
      </c>
      <c r="S252" s="4">
        <f t="shared" si="220"/>
        <v>1.278844129180924</v>
      </c>
      <c r="T252" s="4" t="str">
        <f t="shared" si="208"/>
        <v>1+0.051685379958954i</v>
      </c>
      <c r="U252" s="4">
        <f t="shared" si="221"/>
        <v>1.0013347984073566</v>
      </c>
      <c r="V252" s="4">
        <f t="shared" si="222"/>
        <v>5.163942984895941E-2</v>
      </c>
      <c r="W252" t="str">
        <f t="shared" si="209"/>
        <v>1-0.0300696193245245i</v>
      </c>
      <c r="X252" s="4">
        <f t="shared" si="223"/>
        <v>1.0004519888561978</v>
      </c>
      <c r="Y252" s="4">
        <f t="shared" si="224"/>
        <v>-3.0060561435095268E-2</v>
      </c>
      <c r="Z252" t="str">
        <f t="shared" si="210"/>
        <v>0.999995213699077+0.0201282349764164i</v>
      </c>
      <c r="AA252" s="4">
        <f t="shared" si="225"/>
        <v>1.0001977670762559</v>
      </c>
      <c r="AB252" s="4">
        <f t="shared" si="226"/>
        <v>2.0125613647997836E-2</v>
      </c>
      <c r="AC252" s="47" t="str">
        <f t="shared" si="227"/>
        <v>1.63577598340091-5.4142307167602i</v>
      </c>
      <c r="AD252" s="20">
        <f t="shared" si="228"/>
        <v>15.050095878839503</v>
      </c>
      <c r="AE252" s="43">
        <f t="shared" si="229"/>
        <v>-73.189105892508579</v>
      </c>
      <c r="AF252" t="str">
        <f t="shared" si="211"/>
        <v>72.2956529813786</v>
      </c>
      <c r="AG252" t="str">
        <f t="shared" si="212"/>
        <v>1+2.71348244784509i</v>
      </c>
      <c r="AH252">
        <f t="shared" si="230"/>
        <v>2.891882949699621</v>
      </c>
      <c r="AI252">
        <f t="shared" si="231"/>
        <v>1.2177099138112468</v>
      </c>
      <c r="AJ252" t="str">
        <f t="shared" si="213"/>
        <v>1+0.051685379958954i</v>
      </c>
      <c r="AK252">
        <f t="shared" si="232"/>
        <v>1.0013347984073566</v>
      </c>
      <c r="AL252">
        <f t="shared" si="233"/>
        <v>5.163942984895941E-2</v>
      </c>
      <c r="AM252" t="str">
        <f t="shared" si="214"/>
        <v>1-0.006654807706896i</v>
      </c>
      <c r="AN252">
        <f t="shared" si="234"/>
        <v>1.0000221429876519</v>
      </c>
      <c r="AO252">
        <f t="shared" si="235"/>
        <v>-6.6547094702020899E-3</v>
      </c>
      <c r="AP252" s="41" t="str">
        <f t="shared" si="236"/>
        <v>9.70398511546652-23.0760786598807i</v>
      </c>
      <c r="AQ252">
        <f t="shared" si="237"/>
        <v>27.970407989365363</v>
      </c>
      <c r="AR252" s="43">
        <f t="shared" si="238"/>
        <v>-67.192204112344712</v>
      </c>
      <c r="AS252" t="str">
        <f t="shared" si="215"/>
        <v>-0.0000166666666666667</v>
      </c>
      <c r="AT252" t="str">
        <f t="shared" si="216"/>
        <v>0.000046736779750118i</v>
      </c>
      <c r="AU252">
        <f t="shared" si="239"/>
        <v>4.6736779750117998E-5</v>
      </c>
      <c r="AV252">
        <f t="shared" si="240"/>
        <v>1.5707963267948966</v>
      </c>
      <c r="AW252" t="str">
        <f t="shared" si="217"/>
        <v>1+0.0466963500098499i</v>
      </c>
      <c r="AX252">
        <f t="shared" si="241"/>
        <v>1.0010896808499439</v>
      </c>
      <c r="AY252">
        <f t="shared" si="242"/>
        <v>4.6662453119049492E-2</v>
      </c>
      <c r="AZ252" t="str">
        <f t="shared" si="218"/>
        <v>1+1.58767590033489i</v>
      </c>
      <c r="BA252">
        <f t="shared" si="243"/>
        <v>1.8763567796408558</v>
      </c>
      <c r="BB252">
        <f t="shared" si="244"/>
        <v>1.0087159181849141</v>
      </c>
      <c r="BC252" s="41" t="str">
        <f t="shared" si="245"/>
        <v>-0.548328564094023+0.382212024932337i</v>
      </c>
      <c r="BD252">
        <f t="shared" si="246"/>
        <v>-3.4993519948233978</v>
      </c>
      <c r="BE252" s="43">
        <f t="shared" si="247"/>
        <v>145.12160321421075</v>
      </c>
      <c r="BF252" s="41" t="str">
        <f t="shared" si="248"/>
        <v>1.17244138954607+3.59399060554622i</v>
      </c>
      <c r="BG252" s="20">
        <f t="shared" si="249"/>
        <v>11.550743884016107</v>
      </c>
      <c r="BH252" s="43">
        <f t="shared" si="250"/>
        <v>71.932497321702101</v>
      </c>
      <c r="BI252" s="41" t="str">
        <f t="shared" si="255"/>
        <v>3.49898252773736+16.3622528773888i</v>
      </c>
      <c r="BJ252" s="20">
        <f t="shared" si="251"/>
        <v>24.471055994541953</v>
      </c>
      <c r="BK252" s="43">
        <f t="shared" si="256"/>
        <v>77.929399101866025</v>
      </c>
      <c r="BL252">
        <f t="shared" si="252"/>
        <v>11.550743884016107</v>
      </c>
      <c r="BM252" s="43">
        <f t="shared" si="253"/>
        <v>71.932497321702101</v>
      </c>
    </row>
    <row r="253" spans="14:65" x14ac:dyDescent="0.25">
      <c r="N253" s="9">
        <v>35</v>
      </c>
      <c r="O253" s="34">
        <f t="shared" si="254"/>
        <v>2238.7211385683418</v>
      </c>
      <c r="P253" s="33" t="str">
        <f t="shared" si="206"/>
        <v>19.6196196196196</v>
      </c>
      <c r="Q253" s="4" t="str">
        <f t="shared" si="207"/>
        <v>1+3.40484712473171i</v>
      </c>
      <c r="R253" s="4">
        <f t="shared" si="219"/>
        <v>3.5486594571462891</v>
      </c>
      <c r="S253" s="4">
        <f t="shared" si="220"/>
        <v>1.2851302969261515</v>
      </c>
      <c r="T253" s="4" t="str">
        <f t="shared" si="208"/>
        <v>1+0.0528892871153659i</v>
      </c>
      <c r="U253" s="4">
        <f t="shared" si="221"/>
        <v>1.0013976616167883</v>
      </c>
      <c r="V253" s="4">
        <f t="shared" si="222"/>
        <v>5.2840054396149756E-2</v>
      </c>
      <c r="W253" t="str">
        <f t="shared" si="209"/>
        <v>1-0.0307700307353359i</v>
      </c>
      <c r="X253" s="4">
        <f t="shared" si="223"/>
        <v>1.0004732853961935</v>
      </c>
      <c r="Y253" s="4">
        <f t="shared" si="224"/>
        <v>-3.07603252799067E-2</v>
      </c>
      <c r="Z253" t="str">
        <f t="shared" si="210"/>
        <v>0.999994988127664+0.0205970817983473i</v>
      </c>
      <c r="AA253" s="4">
        <f t="shared" si="225"/>
        <v>1.0002070865871002</v>
      </c>
      <c r="AB253" s="4">
        <f t="shared" si="226"/>
        <v>2.0594273025744445E-2</v>
      </c>
      <c r="AC253" s="47" t="str">
        <f t="shared" si="227"/>
        <v>1.56846421809465-5.31118830958102i</v>
      </c>
      <c r="AD253" s="20">
        <f t="shared" si="228"/>
        <v>14.866968012540923</v>
      </c>
      <c r="AE253" s="43">
        <f t="shared" si="229"/>
        <v>-73.547431773625149</v>
      </c>
      <c r="AF253" t="str">
        <f t="shared" si="211"/>
        <v>72.2956529813786</v>
      </c>
      <c r="AG253" t="str">
        <f t="shared" si="212"/>
        <v>1+2.77668757355671i</v>
      </c>
      <c r="AH253">
        <f t="shared" si="230"/>
        <v>2.9512698760269704</v>
      </c>
      <c r="AI253">
        <f t="shared" si="231"/>
        <v>1.2251156226526345</v>
      </c>
      <c r="AJ253" t="str">
        <f t="shared" si="213"/>
        <v>1+0.0528892871153659i</v>
      </c>
      <c r="AK253">
        <f t="shared" si="232"/>
        <v>1.0013976616167883</v>
      </c>
      <c r="AL253">
        <f t="shared" si="233"/>
        <v>5.2840054396149756E-2</v>
      </c>
      <c r="AM253" t="str">
        <f t="shared" si="214"/>
        <v>1-0.00680981809144265i</v>
      </c>
      <c r="AN253">
        <f t="shared" si="234"/>
        <v>1.0000231865424114</v>
      </c>
      <c r="AO253">
        <f t="shared" si="235"/>
        <v>-6.8097128290604573E-3</v>
      </c>
      <c r="AP253" s="41" t="str">
        <f t="shared" si="236"/>
        <v>9.36531043132113-22.6731957950307i</v>
      </c>
      <c r="AQ253">
        <f t="shared" si="237"/>
        <v>27.794398046332127</v>
      </c>
      <c r="AR253" s="43">
        <f t="shared" si="238"/>
        <v>-67.556610292198101</v>
      </c>
      <c r="AS253" t="str">
        <f t="shared" si="215"/>
        <v>-0.0000166666666666667</v>
      </c>
      <c r="AT253" t="str">
        <f t="shared" si="216"/>
        <v>0.0000478254192000649i</v>
      </c>
      <c r="AU253">
        <f t="shared" si="239"/>
        <v>4.7825419200064903E-5</v>
      </c>
      <c r="AV253">
        <f t="shared" si="240"/>
        <v>1.5707963267948966</v>
      </c>
      <c r="AW253" t="str">
        <f t="shared" si="217"/>
        <v>1+0.0477840477301688i</v>
      </c>
      <c r="AX253">
        <f t="shared" si="241"/>
        <v>1.0011410066606397</v>
      </c>
      <c r="AY253">
        <f t="shared" si="242"/>
        <v>4.774772879263791E-2</v>
      </c>
      <c r="AZ253" t="str">
        <f t="shared" si="218"/>
        <v>1+1.62465762282574i</v>
      </c>
      <c r="BA253">
        <f t="shared" si="243"/>
        <v>1.9077506103801367</v>
      </c>
      <c r="BB253">
        <f t="shared" si="244"/>
        <v>1.0190472863769569</v>
      </c>
      <c r="BC253" s="41" t="str">
        <f t="shared" si="245"/>
        <v>-0.548272342869493+0.374688385961934i</v>
      </c>
      <c r="BD253">
        <f t="shared" si="246"/>
        <v>-3.5556737002854026</v>
      </c>
      <c r="BE253" s="43">
        <f t="shared" si="247"/>
        <v>145.65136529250557</v>
      </c>
      <c r="BF253" s="41" t="str">
        <f t="shared" si="248"/>
        <v>1.13009502369508+3.49966298423198i</v>
      </c>
      <c r="BG253" s="20">
        <f t="shared" si="249"/>
        <v>11.311294312255519</v>
      </c>
      <c r="BH253" s="43">
        <f t="shared" si="250"/>
        <v>72.103933518880467</v>
      </c>
      <c r="BI253" s="41" t="str">
        <f t="shared" si="255"/>
        <v>3.36064244515842+15.9401592284244i</v>
      </c>
      <c r="BJ253" s="20">
        <f t="shared" si="251"/>
        <v>24.238724346046723</v>
      </c>
      <c r="BK253" s="43">
        <f t="shared" si="256"/>
        <v>78.094755000307458</v>
      </c>
      <c r="BL253">
        <f t="shared" si="252"/>
        <v>11.311294312255519</v>
      </c>
      <c r="BM253" s="43">
        <f t="shared" si="253"/>
        <v>72.103933518880467</v>
      </c>
    </row>
    <row r="254" spans="14:65" x14ac:dyDescent="0.25">
      <c r="N254" s="9">
        <v>36</v>
      </c>
      <c r="O254" s="34">
        <f t="shared" si="254"/>
        <v>2290.8676527677749</v>
      </c>
      <c r="P254" s="33" t="str">
        <f t="shared" si="206"/>
        <v>19.6196196196196</v>
      </c>
      <c r="Q254" s="4" t="str">
        <f t="shared" si="207"/>
        <v>1+3.48415620252523i</v>
      </c>
      <c r="R254" s="4">
        <f t="shared" si="219"/>
        <v>3.62482336722702</v>
      </c>
      <c r="S254" s="4">
        <f t="shared" si="220"/>
        <v>1.2912958846018943</v>
      </c>
      <c r="T254" s="4" t="str">
        <f t="shared" si="208"/>
        <v>1+0.0541212368718787i</v>
      </c>
      <c r="U254" s="4">
        <f t="shared" si="221"/>
        <v>1.0014634832486615</v>
      </c>
      <c r="V254" s="4">
        <f t="shared" si="222"/>
        <v>5.4068487225522065E-2</v>
      </c>
      <c r="W254" t="str">
        <f t="shared" si="209"/>
        <v>1-0.0314867568237327i</v>
      </c>
      <c r="X254" s="4">
        <f t="shared" si="223"/>
        <v>1.0004955851253301</v>
      </c>
      <c r="Y254" s="4">
        <f t="shared" si="224"/>
        <v>-3.1476357519071366E-2</v>
      </c>
      <c r="Z254" t="str">
        <f t="shared" si="210"/>
        <v>0.999994751925398+0.0210768494656823i</v>
      </c>
      <c r="AA254" s="4">
        <f t="shared" si="225"/>
        <v>1.000216845219944</v>
      </c>
      <c r="AB254" s="4">
        <f t="shared" si="226"/>
        <v>2.1073839846848106E-2</v>
      </c>
      <c r="AC254" s="47" t="str">
        <f t="shared" si="227"/>
        <v>1.50370921649077-5.20931762721589i</v>
      </c>
      <c r="AD254" s="20">
        <f t="shared" si="228"/>
        <v>14.683197289239484</v>
      </c>
      <c r="AE254" s="43">
        <f t="shared" si="229"/>
        <v>-73.898812689268055</v>
      </c>
      <c r="AF254" t="str">
        <f t="shared" si="211"/>
        <v>72.2956529813786</v>
      </c>
      <c r="AG254" t="str">
        <f t="shared" si="212"/>
        <v>1+2.84136493577363i</v>
      </c>
      <c r="AH254">
        <f t="shared" si="230"/>
        <v>3.0122009724193179</v>
      </c>
      <c r="AI254">
        <f t="shared" si="231"/>
        <v>1.2323911296297723</v>
      </c>
      <c r="AJ254" t="str">
        <f t="shared" si="213"/>
        <v>1+0.0541212368718787i</v>
      </c>
      <c r="AK254">
        <f t="shared" si="232"/>
        <v>1.0014634832486615</v>
      </c>
      <c r="AL254">
        <f t="shared" si="233"/>
        <v>5.4068487225522065E-2</v>
      </c>
      <c r="AM254" t="str">
        <f t="shared" si="214"/>
        <v>1-0.00696843913167996i</v>
      </c>
      <c r="AN254">
        <f t="shared" si="234"/>
        <v>1.0000242792772243</v>
      </c>
      <c r="AO254">
        <f t="shared" si="235"/>
        <v>-6.9683263411532232E-3</v>
      </c>
      <c r="AP254" s="41" t="str">
        <f t="shared" si="236"/>
        <v>9.03843952509459-22.2725628381877i</v>
      </c>
      <c r="AQ254">
        <f t="shared" si="237"/>
        <v>27.617478051545817</v>
      </c>
      <c r="AR254" s="43">
        <f t="shared" si="238"/>
        <v>-67.912170004084388</v>
      </c>
      <c r="AS254" t="str">
        <f t="shared" si="215"/>
        <v>-0.0000166666666666667</v>
      </c>
      <c r="AT254" t="str">
        <f t="shared" si="216"/>
        <v>0.0000489394163203158i</v>
      </c>
      <c r="AU254">
        <f t="shared" si="239"/>
        <v>4.89394163203158E-5</v>
      </c>
      <c r="AV254">
        <f t="shared" si="240"/>
        <v>1.5707963267948966</v>
      </c>
      <c r="AW254" t="str">
        <f t="shared" si="217"/>
        <v>1+0.0488970811850908i</v>
      </c>
      <c r="AX254">
        <f t="shared" si="241"/>
        <v>1.0011947485621473</v>
      </c>
      <c r="AY254">
        <f t="shared" si="242"/>
        <v>4.8858167250107803E-2</v>
      </c>
      <c r="AZ254" t="str">
        <f t="shared" si="218"/>
        <v>1+1.66250076029308i</v>
      </c>
      <c r="BA254">
        <f t="shared" si="243"/>
        <v>1.9400795803201139</v>
      </c>
      <c r="BB254">
        <f t="shared" si="244"/>
        <v>1.0292720565940179</v>
      </c>
      <c r="BC254" s="41" t="str">
        <f t="shared" si="245"/>
        <v>-0.548213484375718+0.367363159050786i</v>
      </c>
      <c r="BD254">
        <f t="shared" si="246"/>
        <v>-3.6101810822496305</v>
      </c>
      <c r="BE254" s="43">
        <f t="shared" si="247"/>
        <v>146.17357803541216</v>
      </c>
      <c r="BF254" s="41" t="str">
        <f t="shared" si="248"/>
        <v>1.08935771097269+3.4082255356997i</v>
      </c>
      <c r="BG254" s="20">
        <f t="shared" si="249"/>
        <v>11.073016206989852</v>
      </c>
      <c r="BH254" s="43">
        <f t="shared" si="250"/>
        <v>72.274765346144065</v>
      </c>
      <c r="BI254" s="41" t="str">
        <f t="shared" si="255"/>
        <v>3.22712461902246+15.5305089763282i</v>
      </c>
      <c r="BJ254" s="20">
        <f t="shared" si="251"/>
        <v>24.007296969296164</v>
      </c>
      <c r="BK254" s="43">
        <f t="shared" si="256"/>
        <v>78.261408031327719</v>
      </c>
      <c r="BL254">
        <f t="shared" si="252"/>
        <v>11.073016206989852</v>
      </c>
      <c r="BM254" s="43">
        <f t="shared" si="253"/>
        <v>72.274765346144065</v>
      </c>
    </row>
    <row r="255" spans="14:65" x14ac:dyDescent="0.25">
      <c r="N255" s="9">
        <v>37</v>
      </c>
      <c r="O255" s="34">
        <f t="shared" si="254"/>
        <v>2344.2288153199238</v>
      </c>
      <c r="P255" s="33" t="str">
        <f t="shared" si="206"/>
        <v>19.6196196196196</v>
      </c>
      <c r="Q255" s="4" t="str">
        <f t="shared" si="207"/>
        <v>1+3.56531262605559i</v>
      </c>
      <c r="R255" s="4">
        <f t="shared" si="219"/>
        <v>3.7028980706348649</v>
      </c>
      <c r="S255" s="4">
        <f t="shared" si="220"/>
        <v>1.2973422855113323</v>
      </c>
      <c r="T255" s="4" t="str">
        <f t="shared" si="208"/>
        <v>1+0.0553818824245603i</v>
      </c>
      <c r="U255" s="4">
        <f t="shared" si="221"/>
        <v>1.0015324023220058</v>
      </c>
      <c r="V255" s="4">
        <f t="shared" si="222"/>
        <v>5.5325364829909851E-2</v>
      </c>
      <c r="W255" t="str">
        <f t="shared" si="209"/>
        <v>1-0.0322201776073739i</v>
      </c>
      <c r="X255" s="4">
        <f t="shared" si="223"/>
        <v>1.0005189352756152</v>
      </c>
      <c r="Y255" s="4">
        <f t="shared" si="224"/>
        <v>-3.2209034863790245E-2</v>
      </c>
      <c r="Z255" t="str">
        <f t="shared" si="210"/>
        <v>0.999994504591261+0.021567792357589i</v>
      </c>
      <c r="AA255" s="4">
        <f t="shared" si="225"/>
        <v>1.0002270636609978</v>
      </c>
      <c r="AB255" s="4">
        <f t="shared" si="226"/>
        <v>2.1564567532438607E-2</v>
      </c>
      <c r="AC255" s="47" t="str">
        <f t="shared" si="227"/>
        <v>1.44143274165823-5.10865782539988i</v>
      </c>
      <c r="AD255" s="20">
        <f t="shared" si="228"/>
        <v>14.498810822982325</v>
      </c>
      <c r="AE255" s="43">
        <f t="shared" si="229"/>
        <v>-74.243328105398732</v>
      </c>
      <c r="AF255" t="str">
        <f t="shared" si="211"/>
        <v>72.2956529813786</v>
      </c>
      <c r="AG255" t="str">
        <f t="shared" si="212"/>
        <v>1+2.90754882728942i</v>
      </c>
      <c r="AH255">
        <f t="shared" si="230"/>
        <v>3.0747097721690873</v>
      </c>
      <c r="AI255">
        <f t="shared" si="231"/>
        <v>1.2395372104433118</v>
      </c>
      <c r="AJ255" t="str">
        <f t="shared" si="213"/>
        <v>1+0.0553818824245603i</v>
      </c>
      <c r="AK255">
        <f t="shared" si="232"/>
        <v>1.0015324023220058</v>
      </c>
      <c r="AL255">
        <f t="shared" si="233"/>
        <v>5.5325364829909851E-2</v>
      </c>
      <c r="AM255" t="str">
        <f t="shared" si="214"/>
        <v>1-0.00713075493058309i</v>
      </c>
      <c r="AN255">
        <f t="shared" si="234"/>
        <v>1.0000254235097625</v>
      </c>
      <c r="AO255">
        <f t="shared" si="235"/>
        <v>-7.1306340735221877E-3</v>
      </c>
      <c r="AP255" s="41" t="str">
        <f t="shared" si="236"/>
        <v>8.72309458946949-21.8744766746819i</v>
      </c>
      <c r="AQ255">
        <f t="shared" si="237"/>
        <v>27.439682042925774</v>
      </c>
      <c r="AR255" s="43">
        <f t="shared" si="238"/>
        <v>-68.258896040710781</v>
      </c>
      <c r="AS255" t="str">
        <f t="shared" si="215"/>
        <v>-0.0000166666666666667</v>
      </c>
      <c r="AT255" t="str">
        <f t="shared" si="216"/>
        <v>0.0000500793617668895i</v>
      </c>
      <c r="AU255">
        <f t="shared" si="239"/>
        <v>5.0079361766889502E-5</v>
      </c>
      <c r="AV255">
        <f t="shared" si="240"/>
        <v>1.5707963267948966</v>
      </c>
      <c r="AW255" t="str">
        <f t="shared" si="217"/>
        <v>1+0.0500360405196866i</v>
      </c>
      <c r="AX255">
        <f t="shared" si="241"/>
        <v>1.0012510201497364</v>
      </c>
      <c r="AY255">
        <f t="shared" si="242"/>
        <v>4.9994346300383859E-2</v>
      </c>
      <c r="AZ255" t="str">
        <f t="shared" si="218"/>
        <v>1+1.70122537766934i</v>
      </c>
      <c r="BA255">
        <f t="shared" si="243"/>
        <v>1.9733645850744834</v>
      </c>
      <c r="BB255">
        <f t="shared" si="244"/>
        <v>1.0393870980387985</v>
      </c>
      <c r="BC255" s="41" t="str">
        <f t="shared" si="245"/>
        <v>-0.548151865509701+0.360232442282191i</v>
      </c>
      <c r="BD255">
        <f t="shared" si="246"/>
        <v>-3.6629135496880978</v>
      </c>
      <c r="BE255" s="43">
        <f t="shared" si="247"/>
        <v>146.68802895544604</v>
      </c>
      <c r="BF255" s="41" t="str">
        <f t="shared" si="248"/>
        <v>1.0501802388811+3.31957115415674i</v>
      </c>
      <c r="BG255" s="20">
        <f t="shared" si="249"/>
        <v>10.835897273294234</v>
      </c>
      <c r="BH255" s="43">
        <f t="shared" si="250"/>
        <v>72.444700850047411</v>
      </c>
      <c r="BI255" s="41" t="str">
        <f t="shared" si="255"/>
        <v>3.0983155839302+15.1328768644985i</v>
      </c>
      <c r="BJ255" s="20">
        <f t="shared" si="251"/>
        <v>23.776768493237682</v>
      </c>
      <c r="BK255" s="43">
        <f t="shared" si="256"/>
        <v>78.429132914735277</v>
      </c>
      <c r="BL255">
        <f t="shared" si="252"/>
        <v>10.835897273294234</v>
      </c>
      <c r="BM255" s="43">
        <f t="shared" si="253"/>
        <v>72.444700850047411</v>
      </c>
    </row>
    <row r="256" spans="14:65" x14ac:dyDescent="0.25">
      <c r="N256" s="9">
        <v>38</v>
      </c>
      <c r="O256" s="34">
        <f t="shared" si="254"/>
        <v>2398.8329190194918</v>
      </c>
      <c r="P256" s="33" t="str">
        <f t="shared" si="206"/>
        <v>19.6196196196196</v>
      </c>
      <c r="Q256" s="4" t="str">
        <f t="shared" si="207"/>
        <v>1+3.64835942553277i</v>
      </c>
      <c r="R256" s="4">
        <f t="shared" si="219"/>
        <v>3.7829256532310809</v>
      </c>
      <c r="S256" s="4">
        <f t="shared" si="220"/>
        <v>1.3032709364425794</v>
      </c>
      <c r="T256" s="4" t="str">
        <f t="shared" si="208"/>
        <v>1+0.056671892184369i</v>
      </c>
      <c r="U256" s="4">
        <f t="shared" si="221"/>
        <v>1.0016045643684721</v>
      </c>
      <c r="V256" s="4">
        <f t="shared" si="222"/>
        <v>5.6611337729123537E-2</v>
      </c>
      <c r="W256" t="str">
        <f t="shared" si="209"/>
        <v>1-0.0329706819556669i</v>
      </c>
      <c r="X256" s="4">
        <f t="shared" si="223"/>
        <v>1.0005433853005186</v>
      </c>
      <c r="Y256" s="4">
        <f t="shared" si="224"/>
        <v>-3.2958742640986471E-2</v>
      </c>
      <c r="Z256" t="str">
        <f t="shared" si="210"/>
        <v>0.999994245600627+0.0220701707784872i</v>
      </c>
      <c r="AA256" s="4">
        <f t="shared" si="225"/>
        <v>1.0002377635705215</v>
      </c>
      <c r="AB256" s="4">
        <f t="shared" si="226"/>
        <v>2.2066715360436646E-2</v>
      </c>
      <c r="AC256" s="47" t="str">
        <f t="shared" si="227"/>
        <v>1.38155737433619-5.00924407741452i</v>
      </c>
      <c r="AD256" s="20">
        <f t="shared" si="228"/>
        <v>14.313835000736066</v>
      </c>
      <c r="AE256" s="43">
        <f t="shared" si="229"/>
        <v>-74.581060005009746</v>
      </c>
      <c r="AF256" t="str">
        <f t="shared" si="211"/>
        <v>72.2956529813786</v>
      </c>
      <c r="AG256" t="str">
        <f t="shared" si="212"/>
        <v>1+2.97527433967938i</v>
      </c>
      <c r="AH256">
        <f t="shared" si="230"/>
        <v>3.1388305778354098</v>
      </c>
      <c r="AI256">
        <f t="shared" si="231"/>
        <v>1.2465547337075573</v>
      </c>
      <c r="AJ256" t="str">
        <f t="shared" si="213"/>
        <v>1+0.056671892184369i</v>
      </c>
      <c r="AK256">
        <f t="shared" si="232"/>
        <v>1.0016045643684721</v>
      </c>
      <c r="AL256">
        <f t="shared" si="233"/>
        <v>5.6611337729123537E-2</v>
      </c>
      <c r="AM256" t="str">
        <f t="shared" si="214"/>
        <v>1-0.00729685155013709i</v>
      </c>
      <c r="AN256">
        <f t="shared" si="234"/>
        <v>1.0000266216669158</v>
      </c>
      <c r="AO256">
        <f t="shared" si="235"/>
        <v>-7.29672204964935E-3</v>
      </c>
      <c r="AP256" s="41" t="str">
        <f t="shared" si="236"/>
        <v>8.41899348326007-21.4792144730377i</v>
      </c>
      <c r="AQ256">
        <f t="shared" si="237"/>
        <v>27.261043327344481</v>
      </c>
      <c r="AR256" s="43">
        <f t="shared" si="238"/>
        <v>-68.596805826753695</v>
      </c>
      <c r="AS256" t="str">
        <f t="shared" si="215"/>
        <v>-0.0000166666666666667</v>
      </c>
      <c r="AT256" t="str">
        <f t="shared" si="216"/>
        <v>0.0000512458599539508i</v>
      </c>
      <c r="AU256">
        <f t="shared" si="239"/>
        <v>5.1245859953950797E-5</v>
      </c>
      <c r="AV256">
        <f t="shared" si="240"/>
        <v>1.5707963267948966</v>
      </c>
      <c r="AW256" t="str">
        <f t="shared" si="217"/>
        <v>1+0.051201529625271i</v>
      </c>
      <c r="AX256">
        <f t="shared" si="241"/>
        <v>1.0013099403461285</v>
      </c>
      <c r="AY256">
        <f t="shared" si="242"/>
        <v>5.1156856620398108E-2</v>
      </c>
      <c r="AZ256" t="str">
        <f t="shared" si="218"/>
        <v>1+1.74085200725921i</v>
      </c>
      <c r="BA256">
        <f t="shared" si="243"/>
        <v>2.007626885449191</v>
      </c>
      <c r="BB256">
        <f t="shared" si="244"/>
        <v>1.0493894940326527</v>
      </c>
      <c r="BC256" s="41" t="str">
        <f t="shared" si="245"/>
        <v>-0.548087357480699+0.353292435595671i</v>
      </c>
      <c r="BD256">
        <f t="shared" si="246"/>
        <v>-3.7139112077841956</v>
      </c>
      <c r="BE256" s="43">
        <f t="shared" si="247"/>
        <v>147.19451709593511</v>
      </c>
      <c r="BF256" s="41" t="str">
        <f t="shared" si="248"/>
        <v>1.01251391009507+3.23359711906036i</v>
      </c>
      <c r="BG256" s="20">
        <f t="shared" si="249"/>
        <v>10.59992379295187</v>
      </c>
      <c r="BH256" s="43">
        <f t="shared" si="250"/>
        <v>72.613457090925365</v>
      </c>
      <c r="BI256" s="41" t="str">
        <f t="shared" si="255"/>
        <v>2.97410010497404+14.7468526142535i</v>
      </c>
      <c r="BJ256" s="20">
        <f t="shared" si="251"/>
        <v>23.547132119560317</v>
      </c>
      <c r="BK256" s="43">
        <f t="shared" si="256"/>
        <v>78.59771126918146</v>
      </c>
      <c r="BL256">
        <f t="shared" si="252"/>
        <v>10.59992379295187</v>
      </c>
      <c r="BM256" s="43">
        <f t="shared" si="253"/>
        <v>72.613457090925365</v>
      </c>
    </row>
    <row r="257" spans="14:65" x14ac:dyDescent="0.25">
      <c r="N257" s="9">
        <v>39</v>
      </c>
      <c r="O257" s="34">
        <f t="shared" si="254"/>
        <v>2454.7089156850338</v>
      </c>
      <c r="P257" s="33" t="str">
        <f t="shared" si="206"/>
        <v>19.6196196196196</v>
      </c>
      <c r="Q257" s="4" t="str">
        <f t="shared" si="207"/>
        <v>1+3.73334063346912i</v>
      </c>
      <c r="R257" s="4">
        <f t="shared" si="219"/>
        <v>3.8649491957219317</v>
      </c>
      <c r="S257" s="4">
        <f t="shared" si="220"/>
        <v>1.3090833130957311</v>
      </c>
      <c r="T257" s="4" t="str">
        <f t="shared" si="208"/>
        <v>1+0.0579919501315551i</v>
      </c>
      <c r="U257" s="4">
        <f t="shared" si="221"/>
        <v>1.0016801217355074</v>
      </c>
      <c r="V257" s="4">
        <f t="shared" si="222"/>
        <v>5.7927070740205561E-2</v>
      </c>
      <c r="W257" t="str">
        <f t="shared" si="209"/>
        <v>1-0.0337386677959514i</v>
      </c>
      <c r="X257" s="4">
        <f t="shared" si="223"/>
        <v>1.0005689869792314</v>
      </c>
      <c r="Y257" s="4">
        <f t="shared" si="224"/>
        <v>-3.3725874982663454E-2</v>
      </c>
      <c r="Z257" t="str">
        <f t="shared" si="210"/>
        <v>0.999993974404139+0.0225842510960654i</v>
      </c>
      <c r="AA257" s="4">
        <f t="shared" si="225"/>
        <v>1.0002489676286377</v>
      </c>
      <c r="AB257" s="4">
        <f t="shared" si="226"/>
        <v>2.2580548598681173E-2</v>
      </c>
      <c r="AC257" s="47" t="str">
        <f t="shared" si="227"/>
        <v>1.32400665253028-4.91110775602029i</v>
      </c>
      <c r="AD257" s="20">
        <f t="shared" si="228"/>
        <v>14.128295494533349</v>
      </c>
      <c r="AE257" s="43">
        <f t="shared" si="229"/>
        <v>-74.912092629105715</v>
      </c>
      <c r="AF257" t="str">
        <f t="shared" si="211"/>
        <v>72.2956529813786</v>
      </c>
      <c r="AG257" t="str">
        <f t="shared" si="212"/>
        <v>1+3.04457738190665i</v>
      </c>
      <c r="AH257">
        <f t="shared" si="230"/>
        <v>3.2045984825587048</v>
      </c>
      <c r="AI257">
        <f t="shared" si="231"/>
        <v>1.2534446546401283</v>
      </c>
      <c r="AJ257" t="str">
        <f t="shared" si="213"/>
        <v>1+0.0579919501315551i</v>
      </c>
      <c r="AK257">
        <f t="shared" si="232"/>
        <v>1.0016801217355074</v>
      </c>
      <c r="AL257">
        <f t="shared" si="233"/>
        <v>5.7927070740205561E-2</v>
      </c>
      <c r="AM257" t="str">
        <f t="shared" si="214"/>
        <v>1-0.00746681705696823i</v>
      </c>
      <c r="AN257">
        <f t="shared" si="234"/>
        <v>1.0000278762899373</v>
      </c>
      <c r="AO257">
        <f t="shared" si="235"/>
        <v>-7.466678294904488E-3</v>
      </c>
      <c r="AP257" s="41" t="str">
        <f t="shared" si="236"/>
        <v>8.12585083238795-21.0870341654374i</v>
      </c>
      <c r="AQ257">
        <f t="shared" si="237"/>
        <v>27.081594472615716</v>
      </c>
      <c r="AR257" s="43">
        <f t="shared" si="238"/>
        <v>-68.925921044422864</v>
      </c>
      <c r="AS257" t="str">
        <f t="shared" si="215"/>
        <v>-0.0000166666666666667</v>
      </c>
      <c r="AT257" t="str">
        <f t="shared" si="216"/>
        <v>0.0000524395293742788i</v>
      </c>
      <c r="AU257">
        <f t="shared" si="239"/>
        <v>5.2439529374278798E-5</v>
      </c>
      <c r="AV257">
        <f t="shared" si="240"/>
        <v>1.5707963267948966</v>
      </c>
      <c r="AW257" t="str">
        <f t="shared" si="217"/>
        <v>1+0.0523941664595951i</v>
      </c>
      <c r="AX257">
        <f t="shared" si="241"/>
        <v>1.0013716336500629</v>
      </c>
      <c r="AY257">
        <f t="shared" si="242"/>
        <v>5.2346302012961692E-2</v>
      </c>
      <c r="AZ257" t="str">
        <f t="shared" si="218"/>
        <v>1+1.78140165962623i</v>
      </c>
      <c r="BA257">
        <f t="shared" si="243"/>
        <v>2.0428881205095615</v>
      </c>
      <c r="BB257">
        <f t="shared" si="244"/>
        <v>1.0592765416334853</v>
      </c>
      <c r="BC257" s="41" t="str">
        <f t="shared" si="245"/>
        <v>-0.548019825553106+0.346539438682179i</v>
      </c>
      <c r="BD257">
        <f t="shared" si="246"/>
        <v>-3.7632147510717555</v>
      </c>
      <c r="BE257" s="43">
        <f t="shared" si="247"/>
        <v>147.69285299435262</v>
      </c>
      <c r="BF257" s="41" t="str">
        <f t="shared" si="248"/>
        <v>0.976310630328171+3.15020493790606i</v>
      </c>
      <c r="BG257" s="20">
        <f t="shared" si="249"/>
        <v>10.365080743461597</v>
      </c>
      <c r="BH257" s="43">
        <f t="shared" si="250"/>
        <v>72.780760365246934</v>
      </c>
      <c r="BI257" s="41" t="str">
        <f t="shared" si="255"/>
        <v>2.8543616275268+14.3720405710462i</v>
      </c>
      <c r="BJ257" s="20">
        <f t="shared" si="251"/>
        <v>23.318379721543941</v>
      </c>
      <c r="BK257" s="43">
        <f t="shared" si="256"/>
        <v>78.766931949929756</v>
      </c>
      <c r="BL257">
        <f t="shared" si="252"/>
        <v>10.365080743461597</v>
      </c>
      <c r="BM257" s="43">
        <f t="shared" si="253"/>
        <v>72.780760365246934</v>
      </c>
    </row>
    <row r="258" spans="14:65" x14ac:dyDescent="0.25">
      <c r="N258" s="9">
        <v>40</v>
      </c>
      <c r="O258" s="34">
        <f t="shared" si="254"/>
        <v>2511.8864315095811</v>
      </c>
      <c r="P258" s="33" t="str">
        <f t="shared" si="206"/>
        <v>19.6196196196196</v>
      </c>
      <c r="Q258" s="4" t="str">
        <f t="shared" si="207"/>
        <v>1+3.82030130802595i</v>
      </c>
      <c r="R258" s="4">
        <f t="shared" si="219"/>
        <v>3.9490127986757373</v>
      </c>
      <c r="S258" s="4">
        <f t="shared" si="220"/>
        <v>1.3147809257231364</v>
      </c>
      <c r="T258" s="4" t="str">
        <f t="shared" si="208"/>
        <v>1+0.0593427561783156i</v>
      </c>
      <c r="U258" s="4">
        <f t="shared" si="221"/>
        <v>1.001759233903456</v>
      </c>
      <c r="V258" s="4">
        <f t="shared" si="222"/>
        <v>5.9273243250018953E-2</v>
      </c>
      <c r="W258" t="str">
        <f t="shared" si="209"/>
        <v>1-0.0345245423244855i</v>
      </c>
      <c r="X258" s="4">
        <f t="shared" si="223"/>
        <v>1.0005957945257991</v>
      </c>
      <c r="Y258" s="4">
        <f t="shared" si="224"/>
        <v>-3.4510835018868639E-2</v>
      </c>
      <c r="Z258" t="str">
        <f t="shared" si="210"/>
        <v>0.999993690426555+0.0231103058825127i</v>
      </c>
      <c r="AA258" s="4">
        <f t="shared" si="225"/>
        <v>1.0002606995833154</v>
      </c>
      <c r="AB258" s="4">
        <f t="shared" si="226"/>
        <v>2.3106338640922867E-2</v>
      </c>
      <c r="AC258" s="47" t="str">
        <f t="shared" si="227"/>
        <v>1.26870519587067-4.81427661463921i</v>
      </c>
      <c r="AD258" s="20">
        <f t="shared" si="228"/>
        <v>13.942217275103115</v>
      </c>
      <c r="AE258" s="43">
        <f t="shared" si="229"/>
        <v>-75.236512230139084</v>
      </c>
      <c r="AF258" t="str">
        <f t="shared" si="211"/>
        <v>72.2956529813786</v>
      </c>
      <c r="AG258" t="str">
        <f t="shared" si="212"/>
        <v>1+3.11549469936157i</v>
      </c>
      <c r="AH258">
        <f t="shared" si="230"/>
        <v>3.2720493917039271</v>
      </c>
      <c r="AI258">
        <f t="shared" si="231"/>
        <v>1.2602080089144807</v>
      </c>
      <c r="AJ258" t="str">
        <f t="shared" si="213"/>
        <v>1+0.0593427561783156i</v>
      </c>
      <c r="AK258">
        <f t="shared" si="232"/>
        <v>1.001759233903456</v>
      </c>
      <c r="AL258">
        <f t="shared" si="233"/>
        <v>5.9273243250018953E-2</v>
      </c>
      <c r="AM258" t="str">
        <f t="shared" si="214"/>
        <v>1-0.00764074156903802i</v>
      </c>
      <c r="AN258">
        <f t="shared" si="234"/>
        <v>1.000029190039833</v>
      </c>
      <c r="AO258">
        <f t="shared" si="235"/>
        <v>-7.640592883042285E-3</v>
      </c>
      <c r="AP258" s="41" t="str">
        <f t="shared" si="236"/>
        <v>7.84337905744653-20.6981749719277i</v>
      </c>
      <c r="AQ258">
        <f t="shared" si="237"/>
        <v>26.90136730259352</v>
      </c>
      <c r="AR258" s="43">
        <f t="shared" si="238"/>
        <v>-69.246267268282196</v>
      </c>
      <c r="AS258" t="str">
        <f t="shared" si="215"/>
        <v>-0.0000166666666666667</v>
      </c>
      <c r="AT258" t="str">
        <f t="shared" si="216"/>
        <v>0.0000536610029272002i</v>
      </c>
      <c r="AU258">
        <f t="shared" si="239"/>
        <v>5.3661002927200203E-5</v>
      </c>
      <c r="AV258">
        <f t="shared" si="240"/>
        <v>1.5707963267948966</v>
      </c>
      <c r="AW258" t="str">
        <f t="shared" si="217"/>
        <v>1+0.0536145833744952i</v>
      </c>
      <c r="AX258">
        <f t="shared" si="241"/>
        <v>1.0014362303963347</v>
      </c>
      <c r="AY258">
        <f t="shared" si="242"/>
        <v>5.3563299667695678E-2</v>
      </c>
      <c r="AZ258" t="str">
        <f t="shared" si="218"/>
        <v>1+1.82289583473283i</v>
      </c>
      <c r="BA258">
        <f t="shared" si="243"/>
        <v>2.0791703211344426</v>
      </c>
      <c r="BB258">
        <f t="shared" si="244"/>
        <v>1.0690457504586337</v>
      </c>
      <c r="BC258" s="41" t="str">
        <f t="shared" si="245"/>
        <v>-0.547949128778183+0.339969848925926i</v>
      </c>
      <c r="BD258">
        <f t="shared" si="246"/>
        <v>-3.8108653594611717</v>
      </c>
      <c r="BE258" s="43">
        <f t="shared" si="247"/>
        <v>148.18285859992201</v>
      </c>
      <c r="BF258" s="41" t="str">
        <f t="shared" si="248"/>
        <v>0.941522986612823+3.06930019046042i</v>
      </c>
      <c r="BG258" s="20">
        <f t="shared" si="249"/>
        <v>10.131351915641932</v>
      </c>
      <c r="BH258" s="43">
        <f t="shared" si="250"/>
        <v>72.94634636978293</v>
      </c>
      <c r="BI258" s="41" t="str">
        <f t="shared" si="255"/>
        <v>2.73898269704377+14.008059336395i</v>
      </c>
      <c r="BJ258" s="20">
        <f t="shared" si="251"/>
        <v>23.090501943132324</v>
      </c>
      <c r="BK258" s="43">
        <f t="shared" si="256"/>
        <v>78.936591331639818</v>
      </c>
      <c r="BL258">
        <f t="shared" si="252"/>
        <v>10.131351915641932</v>
      </c>
      <c r="BM258" s="43">
        <f t="shared" si="253"/>
        <v>72.94634636978293</v>
      </c>
    </row>
    <row r="259" spans="14:65" x14ac:dyDescent="0.25">
      <c r="N259" s="9">
        <v>41</v>
      </c>
      <c r="O259" s="34">
        <f t="shared" si="254"/>
        <v>2570.3957827688669</v>
      </c>
      <c r="P259" s="33" t="str">
        <f t="shared" si="206"/>
        <v>19.6196196196196</v>
      </c>
      <c r="Q259" s="4" t="str">
        <f t="shared" si="207"/>
        <v>1+3.90928755690395i</v>
      </c>
      <c r="R259" s="4">
        <f t="shared" si="219"/>
        <v>4.0351616079859864</v>
      </c>
      <c r="S259" s="4">
        <f t="shared" si="220"/>
        <v>1.3203653149814978</v>
      </c>
      <c r="T259" s="4" t="str">
        <f t="shared" si="208"/>
        <v>1+0.0607250265398956i</v>
      </c>
      <c r="U259" s="4">
        <f t="shared" si="221"/>
        <v>1.001842067817214</v>
      </c>
      <c r="V259" s="4">
        <f t="shared" si="222"/>
        <v>6.0650549489951383E-2</v>
      </c>
      <c r="W259" t="str">
        <f t="shared" si="209"/>
        <v>1-0.0353287222223462i</v>
      </c>
      <c r="X259" s="4">
        <f t="shared" si="223"/>
        <v>1.0006238647033479</v>
      </c>
      <c r="Y259" s="4">
        <f t="shared" si="224"/>
        <v>-3.5314035074290123E-2</v>
      </c>
      <c r="Z259" t="str">
        <f t="shared" si="210"/>
        <v>0.99999339306552+0.0236486140590399i</v>
      </c>
      <c r="AA259" s="4">
        <f t="shared" si="225"/>
        <v>1.0002729843005884</v>
      </c>
      <c r="AB259" s="4">
        <f t="shared" si="226"/>
        <v>2.3644363145733548E-2</v>
      </c>
      <c r="AC259" s="47" t="str">
        <f t="shared" si="227"/>
        <v>1.21557881555045-4.71877496693101i</v>
      </c>
      <c r="AD259" s="20">
        <f t="shared" si="228"/>
        <v>13.755624626839731</v>
      </c>
      <c r="AE259" s="43">
        <f t="shared" si="229"/>
        <v>-75.554406837836808</v>
      </c>
      <c r="AF259" t="str">
        <f t="shared" si="211"/>
        <v>72.2956529813786</v>
      </c>
      <c r="AG259" t="str">
        <f t="shared" si="212"/>
        <v>1+3.18806389334452i</v>
      </c>
      <c r="AH259">
        <f t="shared" si="230"/>
        <v>3.3412200448409584</v>
      </c>
      <c r="AI259">
        <f t="shared" si="231"/>
        <v>1.2668459066883213</v>
      </c>
      <c r="AJ259" t="str">
        <f t="shared" si="213"/>
        <v>1+0.0607250265398956i</v>
      </c>
      <c r="AK259">
        <f t="shared" si="232"/>
        <v>1.001842067817214</v>
      </c>
      <c r="AL259">
        <f t="shared" si="233"/>
        <v>6.0650549489951383E-2</v>
      </c>
      <c r="AM259" t="str">
        <f t="shared" si="214"/>
        <v>1-0.00781871730342484i</v>
      </c>
      <c r="AN259">
        <f t="shared" si="234"/>
        <v>1.0000305657030044</v>
      </c>
      <c r="AO259">
        <f t="shared" si="235"/>
        <v>-7.8185579837729904E-3</v>
      </c>
      <c r="AP259" s="41" t="str">
        <f t="shared" si="236"/>
        <v>7.57128932855256-20.3128579613377i</v>
      </c>
      <c r="AQ259">
        <f t="shared" si="237"/>
        <v>26.72039289518203</v>
      </c>
      <c r="AR259" s="43">
        <f t="shared" si="238"/>
        <v>-69.557873610089885</v>
      </c>
      <c r="AS259" t="str">
        <f t="shared" si="215"/>
        <v>-0.0000166666666666667</v>
      </c>
      <c r="AT259" t="str">
        <f t="shared" si="216"/>
        <v>0.000054910928254161i</v>
      </c>
      <c r="AU259">
        <f t="shared" si="239"/>
        <v>5.4910928254160997E-5</v>
      </c>
      <c r="AV259">
        <f t="shared" si="240"/>
        <v>1.5707963267948966</v>
      </c>
      <c r="AW259" t="str">
        <f t="shared" si="217"/>
        <v>1+0.054863427451173i</v>
      </c>
      <c r="AX259">
        <f t="shared" si="241"/>
        <v>1.0015038670278262</v>
      </c>
      <c r="AY259">
        <f t="shared" si="242"/>
        <v>5.4808480424888305E-2</v>
      </c>
      <c r="AZ259" t="str">
        <f t="shared" si="218"/>
        <v>1+1.86535653333988i</v>
      </c>
      <c r="BA259">
        <f t="shared" si="243"/>
        <v>2.1164959240390173</v>
      </c>
      <c r="BB259">
        <f t="shared" si="244"/>
        <v>1.0786948407611172</v>
      </c>
      <c r="BC259" s="41" t="str">
        <f t="shared" si="245"/>
        <v>-0.547875119714321+0.333580159391294i</v>
      </c>
      <c r="BD259">
        <f t="shared" si="246"/>
        <v>-3.8569045976004039</v>
      </c>
      <c r="BE259" s="43">
        <f t="shared" si="247"/>
        <v>148.66436714827688</v>
      </c>
      <c r="BF259" s="41" t="str">
        <f t="shared" si="248"/>
        <v>0.908104316508599+2.99079237495627i</v>
      </c>
      <c r="BG259" s="20">
        <f t="shared" si="249"/>
        <v>9.8987200292393354</v>
      </c>
      <c r="BH259" s="43">
        <f t="shared" si="250"/>
        <v>73.109960310440087</v>
      </c>
      <c r="BI259" s="41" t="str">
        <f t="shared" si="255"/>
        <v>2.62784534916325+13.6545413883241i</v>
      </c>
      <c r="BJ259" s="20">
        <f t="shared" si="251"/>
        <v>22.86348829758165</v>
      </c>
      <c r="BK259" s="43">
        <f t="shared" si="256"/>
        <v>79.106493538187038</v>
      </c>
      <c r="BL259">
        <f t="shared" si="252"/>
        <v>9.8987200292393354</v>
      </c>
      <c r="BM259" s="43">
        <f t="shared" si="253"/>
        <v>73.109960310440087</v>
      </c>
    </row>
    <row r="260" spans="14:65" x14ac:dyDescent="0.25">
      <c r="N260" s="9">
        <v>42</v>
      </c>
      <c r="O260" s="34">
        <f t="shared" si="254"/>
        <v>2630.2679918953822</v>
      </c>
      <c r="P260" s="33" t="str">
        <f t="shared" si="206"/>
        <v>19.6196196196196</v>
      </c>
      <c r="Q260" s="4" t="str">
        <f t="shared" si="207"/>
        <v>1+4.00034656179015i</v>
      </c>
      <c r="R260" s="4">
        <f t="shared" si="219"/>
        <v>4.1234418407958993</v>
      </c>
      <c r="S260" s="4">
        <f t="shared" si="220"/>
        <v>1.3258380479934671</v>
      </c>
      <c r="T260" s="4" t="str">
        <f t="shared" si="208"/>
        <v>1+0.0621394941143379i</v>
      </c>
      <c r="U260" s="4">
        <f t="shared" si="221"/>
        <v>1.0019287982330809</v>
      </c>
      <c r="V260" s="4">
        <f t="shared" si="222"/>
        <v>6.2059698812496733E-2</v>
      </c>
      <c r="W260" t="str">
        <f t="shared" si="209"/>
        <v>1-0.0361516338763602i</v>
      </c>
      <c r="X260" s="4">
        <f t="shared" si="223"/>
        <v>1.0006532569436479</v>
      </c>
      <c r="Y260" s="4">
        <f t="shared" si="224"/>
        <v>-3.6135896868511305E-2</v>
      </c>
      <c r="Z260" t="str">
        <f t="shared" si="210"/>
        <v>0.999993081690291+0.0241994610437676i</v>
      </c>
      <c r="AA260" s="4">
        <f t="shared" si="225"/>
        <v>1.0002858478171395</v>
      </c>
      <c r="AB260" s="4">
        <f t="shared" si="226"/>
        <v>2.4194906178382065E-2</v>
      </c>
      <c r="AC260" s="47" t="str">
        <f t="shared" si="227"/>
        <v>1.1645546106712-4.62462386400955i</v>
      </c>
      <c r="AD260" s="20">
        <f t="shared" si="228"/>
        <v>13.568541163973373</v>
      </c>
      <c r="AE260" s="43">
        <f t="shared" si="229"/>
        <v>-75.865866037302013</v>
      </c>
      <c r="AF260" t="str">
        <f t="shared" si="211"/>
        <v>72.2956529813786</v>
      </c>
      <c r="AG260" t="str">
        <f t="shared" si="212"/>
        <v>1+3.26232344100274i</v>
      </c>
      <c r="AH260">
        <f t="shared" si="230"/>
        <v>3.4121480380716136</v>
      </c>
      <c r="AI260">
        <f t="shared" si="231"/>
        <v>1.2733595268187377</v>
      </c>
      <c r="AJ260" t="str">
        <f t="shared" si="213"/>
        <v>1+0.0621394941143379i</v>
      </c>
      <c r="AK260">
        <f t="shared" si="232"/>
        <v>1.0019287982330809</v>
      </c>
      <c r="AL260">
        <f t="shared" si="233"/>
        <v>6.2059698812496733E-2</v>
      </c>
      <c r="AM260" t="str">
        <f t="shared" si="214"/>
        <v>1-0.0080008386252189i</v>
      </c>
      <c r="AN260">
        <f t="shared" si="234"/>
        <v>1.000032006197155</v>
      </c>
      <c r="AO260">
        <f t="shared" si="235"/>
        <v>-8.0006679114313292E-3</v>
      </c>
      <c r="AP260" s="41" t="str">
        <f t="shared" si="236"/>
        <v>7.30929244866976-19.9312866423199i</v>
      </c>
      <c r="AQ260">
        <f t="shared" si="237"/>
        <v>26.538701583056596</v>
      </c>
      <c r="AR260" s="43">
        <f t="shared" si="238"/>
        <v>-69.86077237429086</v>
      </c>
      <c r="AS260" t="str">
        <f t="shared" si="215"/>
        <v>-0.0000166666666666667</v>
      </c>
      <c r="AT260" t="str">
        <f t="shared" si="216"/>
        <v>0.0000561899680821142i</v>
      </c>
      <c r="AU260">
        <f t="shared" si="239"/>
        <v>5.6189968082114201E-5</v>
      </c>
      <c r="AV260">
        <f t="shared" si="240"/>
        <v>1.5707963267948966</v>
      </c>
      <c r="AW260" t="str">
        <f t="shared" si="217"/>
        <v>1+0.0561413608432888i</v>
      </c>
      <c r="AX260">
        <f t="shared" si="241"/>
        <v>1.0015746863800703</v>
      </c>
      <c r="AY260">
        <f t="shared" si="242"/>
        <v>5.6082489042131797E-2</v>
      </c>
      <c r="AZ260" t="str">
        <f t="shared" si="218"/>
        <v>1+1.90880626867182i</v>
      </c>
      <c r="BA260">
        <f t="shared" si="243"/>
        <v>2.1548877862480071</v>
      </c>
      <c r="BB260">
        <f t="shared" si="244"/>
        <v>1.0882217408103803</v>
      </c>
      <c r="BC260" s="41" t="str">
        <f t="shared" si="245"/>
        <v>-0.547797644135364+0.327366956853316i</v>
      </c>
      <c r="BD260">
        <f t="shared" si="246"/>
        <v>-3.9013743179675293</v>
      </c>
      <c r="BE260" s="43">
        <f t="shared" si="247"/>
        <v>149.13722299611129</v>
      </c>
      <c r="BF260" s="41" t="str">
        <f t="shared" si="248"/>
        <v>0.876008768759371+2.91459475670154i</v>
      </c>
      <c r="BG260" s="20">
        <f t="shared" si="249"/>
        <v>9.6671668460058306</v>
      </c>
      <c r="BH260" s="43">
        <f t="shared" si="250"/>
        <v>73.271356958809264</v>
      </c>
      <c r="BI260" s="41" t="str">
        <f t="shared" si="255"/>
        <v>2.52083147058971+13.3111326929214i</v>
      </c>
      <c r="BJ260" s="20">
        <f t="shared" si="251"/>
        <v>22.637327265089048</v>
      </c>
      <c r="BK260" s="43">
        <f t="shared" si="256"/>
        <v>79.27645062182043</v>
      </c>
      <c r="BL260">
        <f t="shared" si="252"/>
        <v>9.6671668460058306</v>
      </c>
      <c r="BM260" s="43">
        <f t="shared" si="253"/>
        <v>73.271356958809264</v>
      </c>
    </row>
    <row r="261" spans="14:65" x14ac:dyDescent="0.25">
      <c r="N261" s="9">
        <v>43</v>
      </c>
      <c r="O261" s="34">
        <f t="shared" si="254"/>
        <v>2691.5348039269184</v>
      </c>
      <c r="P261" s="33" t="str">
        <f t="shared" si="206"/>
        <v>19.6196196196196</v>
      </c>
      <c r="Q261" s="4" t="str">
        <f t="shared" si="207"/>
        <v>1+4.09352660337428i</v>
      </c>
      <c r="R261" s="4">
        <f t="shared" si="219"/>
        <v>4.2139008119001771</v>
      </c>
      <c r="S261" s="4">
        <f t="shared" si="220"/>
        <v>1.3312007146155629</v>
      </c>
      <c r="T261" s="4" t="str">
        <f t="shared" si="208"/>
        <v>1+0.0635869088710733i</v>
      </c>
      <c r="U261" s="4">
        <f t="shared" si="221"/>
        <v>1.0020196080814876</v>
      </c>
      <c r="V261" s="4">
        <f t="shared" si="222"/>
        <v>6.3501415969437425E-2</v>
      </c>
      <c r="W261" t="str">
        <f t="shared" si="209"/>
        <v>1-0.036993713605179i</v>
      </c>
      <c r="X261" s="4">
        <f t="shared" si="223"/>
        <v>1.0006840334722553</v>
      </c>
      <c r="Y261" s="4">
        <f t="shared" si="224"/>
        <v>-3.6976851719940577E-2</v>
      </c>
      <c r="Z261" t="str">
        <f t="shared" si="210"/>
        <v>0.999992755640399+0.0247631389030586i</v>
      </c>
      <c r="AA261" s="4">
        <f t="shared" si="225"/>
        <v>1.000299317395354</v>
      </c>
      <c r="AB261" s="4">
        <f t="shared" si="226"/>
        <v>2.4758258355725728E-2</v>
      </c>
      <c r="AC261" s="47" t="str">
        <f t="shared" si="227"/>
        <v>1.11556105182351-4.53184126864461i</v>
      </c>
      <c r="AD261" s="20">
        <f t="shared" si="228"/>
        <v>13.380989847814288</v>
      </c>
      <c r="AE261" s="43">
        <f t="shared" si="229"/>
        <v>-76.17098075922874</v>
      </c>
      <c r="AF261" t="str">
        <f t="shared" si="211"/>
        <v>72.2956529813786</v>
      </c>
      <c r="AG261" t="str">
        <f t="shared" si="212"/>
        <v>1+3.33831271573135i</v>
      </c>
      <c r="AH261">
        <f t="shared" si="230"/>
        <v>3.4848718467131068</v>
      </c>
      <c r="AI261">
        <f t="shared" si="231"/>
        <v>1.2797501112727652</v>
      </c>
      <c r="AJ261" t="str">
        <f t="shared" si="213"/>
        <v>1+0.0635869088710733i</v>
      </c>
      <c r="AK261">
        <f t="shared" si="232"/>
        <v>1.0020196080814876</v>
      </c>
      <c r="AL261">
        <f t="shared" si="233"/>
        <v>6.3501415969437425E-2</v>
      </c>
      <c r="AM261" t="str">
        <f t="shared" si="214"/>
        <v>1-0.0081872020975557i</v>
      </c>
      <c r="AN261">
        <f t="shared" si="234"/>
        <v>1.0000335145774797</v>
      </c>
      <c r="AO261">
        <f t="shared" si="235"/>
        <v>-8.1870191747677422E-3</v>
      </c>
      <c r="AP261" s="41" t="str">
        <f t="shared" si="236"/>
        <v>7.05709966700991-19.5536475783943i</v>
      </c>
      <c r="AQ261">
        <f t="shared" si="237"/>
        <v>26.356322956904389</v>
      </c>
      <c r="AR261" s="43">
        <f t="shared" si="238"/>
        <v>-70.154998724680382</v>
      </c>
      <c r="AS261" t="str">
        <f t="shared" si="215"/>
        <v>-0.0000166666666666667</v>
      </c>
      <c r="AT261" t="str">
        <f t="shared" si="216"/>
        <v>0.0000574988005749068i</v>
      </c>
      <c r="AU261">
        <f t="shared" si="239"/>
        <v>5.74988005749068E-5</v>
      </c>
      <c r="AV261">
        <f t="shared" si="240"/>
        <v>1.5707963267948966</v>
      </c>
      <c r="AW261" t="str">
        <f t="shared" si="217"/>
        <v>1+0.0574490611280427i</v>
      </c>
      <c r="AX261">
        <f t="shared" si="241"/>
        <v>1.0016488379789064</v>
      </c>
      <c r="AY261">
        <f t="shared" si="242"/>
        <v>5.7385984463562918E-2</v>
      </c>
      <c r="AZ261" t="str">
        <f t="shared" si="218"/>
        <v>1+1.95326807835345i</v>
      </c>
      <c r="BA261">
        <f t="shared" si="243"/>
        <v>2.1943692000013533</v>
      </c>
      <c r="BB261">
        <f t="shared" si="244"/>
        <v>1.0976245836307015</v>
      </c>
      <c r="BC261" s="41" t="str">
        <f t="shared" si="245"/>
        <v>-0.547716540726528+0.321326919870189i</v>
      </c>
      <c r="BD261">
        <f t="shared" si="246"/>
        <v>-3.9443165680384045</v>
      </c>
      <c r="BE261" s="43">
        <f t="shared" si="247"/>
        <v>149.60128141887802</v>
      </c>
      <c r="BF261" s="41" t="str">
        <f t="shared" si="248"/>
        <v>0.845191355920162+2.84062421949334i</v>
      </c>
      <c r="BG261" s="20">
        <f t="shared" si="249"/>
        <v>9.4366732797758779</v>
      </c>
      <c r="BH261" s="43">
        <f t="shared" si="250"/>
        <v>73.430300659649276</v>
      </c>
      <c r="BI261" s="41" t="str">
        <f t="shared" si="255"/>
        <v>2.41782313141562+12.977492309441i</v>
      </c>
      <c r="BJ261" s="20">
        <f t="shared" si="251"/>
        <v>22.412006388865979</v>
      </c>
      <c r="BK261" s="43">
        <f t="shared" si="256"/>
        <v>79.446282694197649</v>
      </c>
      <c r="BL261">
        <f t="shared" si="252"/>
        <v>9.4366732797758779</v>
      </c>
      <c r="BM261" s="43">
        <f t="shared" si="253"/>
        <v>73.430300659649276</v>
      </c>
    </row>
    <row r="262" spans="14:65" x14ac:dyDescent="0.25">
      <c r="N262" s="9">
        <v>44</v>
      </c>
      <c r="O262" s="34">
        <f t="shared" si="254"/>
        <v>2754.228703338169</v>
      </c>
      <c r="P262" s="33" t="str">
        <f t="shared" si="206"/>
        <v>19.6196196196196</v>
      </c>
      <c r="Q262" s="4" t="str">
        <f t="shared" si="207"/>
        <v>1+4.18887708694775i</v>
      </c>
      <c r="R262" s="4">
        <f t="shared" si="219"/>
        <v>4.3065869606401623</v>
      </c>
      <c r="S262" s="4">
        <f t="shared" si="220"/>
        <v>1.336454923908525</v>
      </c>
      <c r="T262" s="4" t="str">
        <f t="shared" si="208"/>
        <v>1+0.0650680382485643i</v>
      </c>
      <c r="U262" s="4">
        <f t="shared" si="221"/>
        <v>1.0021146888463</v>
      </c>
      <c r="V262" s="4">
        <f t="shared" si="222"/>
        <v>6.4976441391339054E-2</v>
      </c>
      <c r="W262" t="str">
        <f t="shared" si="209"/>
        <v>1-0.0378554078906209i</v>
      </c>
      <c r="X262" s="4">
        <f t="shared" si="223"/>
        <v>1.0007162594394903</v>
      </c>
      <c r="Y262" s="4">
        <f t="shared" si="224"/>
        <v>-3.7837340753434597E-2</v>
      </c>
      <c r="Z262" t="str">
        <f t="shared" si="210"/>
        <v>0.99999241422425+0.0253399465063748i</v>
      </c>
      <c r="AA262" s="4">
        <f t="shared" si="225"/>
        <v>1.0003134215809513</v>
      </c>
      <c r="AB262" s="4">
        <f t="shared" si="226"/>
        <v>2.5334716994166905E-2</v>
      </c>
      <c r="AC262" s="47" t="str">
        <f t="shared" si="227"/>
        <v>1.06852805272362-4.44044222588504i</v>
      </c>
      <c r="AD262" s="20">
        <f t="shared" si="228"/>
        <v>13.192993004951486</v>
      </c>
      <c r="AE262" s="43">
        <f t="shared" si="229"/>
        <v>-76.469843082027495</v>
      </c>
      <c r="AF262" t="str">
        <f t="shared" si="211"/>
        <v>72.2956529813786</v>
      </c>
      <c r="AG262" t="str">
        <f t="shared" si="212"/>
        <v>1+3.41607200804963i</v>
      </c>
      <c r="AH262">
        <f t="shared" si="230"/>
        <v>3.5594308483492454</v>
      </c>
      <c r="AI262">
        <f t="shared" si="231"/>
        <v>1.2860189597402576</v>
      </c>
      <c r="AJ262" t="str">
        <f t="shared" si="213"/>
        <v>1+0.0650680382485643i</v>
      </c>
      <c r="AK262">
        <f t="shared" si="232"/>
        <v>1.0021146888463</v>
      </c>
      <c r="AL262">
        <f t="shared" si="233"/>
        <v>6.4976441391339054E-2</v>
      </c>
      <c r="AM262" t="str">
        <f t="shared" si="214"/>
        <v>1-0.00837790653281506i</v>
      </c>
      <c r="AN262">
        <f t="shared" si="234"/>
        <v>1.0000350940431404</v>
      </c>
      <c r="AO262">
        <f t="shared" si="235"/>
        <v>-8.3777105278878862E-3</v>
      </c>
      <c r="AP262" s="41" t="str">
        <f t="shared" si="236"/>
        <v>6.81442342446833-19.1801110213335i</v>
      </c>
      <c r="AQ262">
        <f t="shared" si="237"/>
        <v>26.173285870994604</v>
      </c>
      <c r="AR262" s="43">
        <f t="shared" si="238"/>
        <v>-70.440590362648692</v>
      </c>
      <c r="AS262" t="str">
        <f t="shared" si="215"/>
        <v>-0.0000166666666666667</v>
      </c>
      <c r="AT262" t="str">
        <f t="shared" si="216"/>
        <v>0.0000588381196928507i</v>
      </c>
      <c r="AU262">
        <f t="shared" si="239"/>
        <v>5.8838119692850698E-5</v>
      </c>
      <c r="AV262">
        <f t="shared" si="240"/>
        <v>1.5707963267948966</v>
      </c>
      <c r="AW262" t="str">
        <f t="shared" si="217"/>
        <v>1+0.0587872216654349i</v>
      </c>
      <c r="AX262">
        <f t="shared" si="241"/>
        <v>1.0017264783518207</v>
      </c>
      <c r="AY262">
        <f t="shared" si="242"/>
        <v>5.8719640091523397E-2</v>
      </c>
      <c r="AZ262" t="str">
        <f t="shared" si="218"/>
        <v>1+1.99876553662478i</v>
      </c>
      <c r="BA262">
        <f t="shared" si="243"/>
        <v>2.234963908075239</v>
      </c>
      <c r="BB262">
        <f t="shared" si="244"/>
        <v>1.1069017031518564</v>
      </c>
      <c r="BC262" s="41" t="str">
        <f t="shared" si="245"/>
        <v>-0.547631640767483+0.315456816896272i</v>
      </c>
      <c r="BD262">
        <f t="shared" si="246"/>
        <v>-3.9857735018202387</v>
      </c>
      <c r="BE262" s="43">
        <f t="shared" si="247"/>
        <v>150.05640837467263</v>
      </c>
      <c r="BF262" s="41" t="str">
        <f t="shared" si="248"/>
        <v>0.815607999470372+2.7688011201712i</v>
      </c>
      <c r="BG262" s="20">
        <f t="shared" si="249"/>
        <v>9.2072195031312347</v>
      </c>
      <c r="BH262" s="43">
        <f t="shared" si="250"/>
        <v>73.586565292645119</v>
      </c>
      <c r="BI262" s="41" t="str">
        <f t="shared" si="255"/>
        <v>2.31870288968101+12.6532919911815i</v>
      </c>
      <c r="BJ262" s="20">
        <f t="shared" si="251"/>
        <v>22.187512369174346</v>
      </c>
      <c r="BK262" s="43">
        <f t="shared" si="256"/>
        <v>79.615818012023936</v>
      </c>
      <c r="BL262">
        <f t="shared" si="252"/>
        <v>9.2072195031312347</v>
      </c>
      <c r="BM262" s="43">
        <f t="shared" si="253"/>
        <v>73.586565292645119</v>
      </c>
    </row>
    <row r="263" spans="14:65" x14ac:dyDescent="0.25">
      <c r="N263" s="9">
        <v>45</v>
      </c>
      <c r="O263" s="34">
        <f t="shared" si="254"/>
        <v>2818.3829312644561</v>
      </c>
      <c r="P263" s="33" t="str">
        <f t="shared" si="206"/>
        <v>19.6196196196196</v>
      </c>
      <c r="Q263" s="4" t="str">
        <f t="shared" si="207"/>
        <v>1+4.28644856859905i</v>
      </c>
      <c r="R263" s="4">
        <f t="shared" si="219"/>
        <v>4.4015498783093259</v>
      </c>
      <c r="S263" s="4">
        <f t="shared" si="220"/>
        <v>1.3416023008056304</v>
      </c>
      <c r="T263" s="4" t="str">
        <f t="shared" si="208"/>
        <v>1+0.0665836675612119i</v>
      </c>
      <c r="U263" s="4">
        <f t="shared" si="221"/>
        <v>1.0022142409614334</v>
      </c>
      <c r="V263" s="4">
        <f t="shared" si="222"/>
        <v>6.6485531468032058E-2</v>
      </c>
      <c r="W263" t="str">
        <f t="shared" si="209"/>
        <v>1-0.038737173614402i</v>
      </c>
      <c r="X263" s="4">
        <f t="shared" si="223"/>
        <v>1.0007500030575229</v>
      </c>
      <c r="Y263" s="4">
        <f t="shared" si="224"/>
        <v>-3.8717815111626017E-2</v>
      </c>
      <c r="Z263" t="str">
        <f t="shared" si="210"/>
        <v>0.999992056717653+0.0259301896847425i</v>
      </c>
      <c r="AA263" s="4">
        <f t="shared" si="225"/>
        <v>1.0003281902633199</v>
      </c>
      <c r="AB263" s="4">
        <f t="shared" si="226"/>
        <v>2.5924586260726225E-2</v>
      </c>
      <c r="AC263" s="47" t="str">
        <f t="shared" si="227"/>
        <v>1.0233870307146-4.35043902962379i</v>
      </c>
      <c r="AD263" s="20">
        <f t="shared" si="228"/>
        <v>13.004572346294307</v>
      </c>
      <c r="AE263" s="43">
        <f t="shared" si="229"/>
        <v>-76.762546045627346</v>
      </c>
      <c r="AF263" t="str">
        <f t="shared" si="211"/>
        <v>72.2956529813786</v>
      </c>
      <c r="AG263" t="str">
        <f t="shared" si="212"/>
        <v>1+3.49564254696363i</v>
      </c>
      <c r="AH263">
        <f t="shared" si="230"/>
        <v>3.6358653462611037</v>
      </c>
      <c r="AI263">
        <f t="shared" si="231"/>
        <v>1.2921674244541459</v>
      </c>
      <c r="AJ263" t="str">
        <f t="shared" si="213"/>
        <v>1+0.0665836675612119i</v>
      </c>
      <c r="AK263">
        <f t="shared" si="232"/>
        <v>1.0022142409614334</v>
      </c>
      <c r="AL263">
        <f t="shared" si="233"/>
        <v>6.6485531468032058E-2</v>
      </c>
      <c r="AM263" t="str">
        <f t="shared" si="214"/>
        <v>1-0.0085730530450128i</v>
      </c>
      <c r="AN263">
        <f t="shared" si="234"/>
        <v>1.0000367479440506</v>
      </c>
      <c r="AO263">
        <f t="shared" si="235"/>
        <v>-8.5728430223662288E-3</v>
      </c>
      <c r="AP263" s="41" t="str">
        <f t="shared" si="236"/>
        <v>6.58097803334506-18.8108315576944i</v>
      </c>
      <c r="AQ263">
        <f t="shared" si="237"/>
        <v>25.989618450896138</v>
      </c>
      <c r="AR263" s="43">
        <f t="shared" si="238"/>
        <v>-70.717587217319519</v>
      </c>
      <c r="AS263" t="str">
        <f t="shared" si="215"/>
        <v>-0.0000166666666666667</v>
      </c>
      <c r="AT263" t="str">
        <f t="shared" si="216"/>
        <v>0.0000602086355606703i</v>
      </c>
      <c r="AU263">
        <f t="shared" si="239"/>
        <v>6.0208635560670299E-5</v>
      </c>
      <c r="AV263">
        <f t="shared" si="240"/>
        <v>1.5707963267948966</v>
      </c>
      <c r="AW263" t="str">
        <f t="shared" si="217"/>
        <v>1+0.0601565519658949i</v>
      </c>
      <c r="AX263">
        <f t="shared" si="241"/>
        <v>1.0018077713535793</v>
      </c>
      <c r="AY263">
        <f t="shared" si="242"/>
        <v>6.0084144060429313E-2</v>
      </c>
      <c r="AZ263" t="str">
        <f t="shared" si="218"/>
        <v>1+2.04532276684042i</v>
      </c>
      <c r="BA263">
        <f t="shared" si="243"/>
        <v>2.2766961195020632</v>
      </c>
      <c r="BB263">
        <f t="shared" si="244"/>
        <v>1.1160516298273282</v>
      </c>
      <c r="BC263" s="41" t="str">
        <f t="shared" si="245"/>
        <v>-0.547542767802134+0.309753504434017i</v>
      </c>
      <c r="BD263">
        <f t="shared" si="246"/>
        <v>-4.0257872959907584</v>
      </c>
      <c r="BE263" s="43">
        <f t="shared" si="247"/>
        <v>150.50248023748412</v>
      </c>
      <c r="BF263" s="41" t="str">
        <f t="shared" si="248"/>
        <v>0.787215567922214+2.69904914659081i</v>
      </c>
      <c r="BG263" s="20">
        <f t="shared" si="249"/>
        <v>8.97878505030355</v>
      </c>
      <c r="BH263" s="43">
        <f t="shared" si="250"/>
        <v>73.739934191856776</v>
      </c>
      <c r="BI263" s="41" t="str">
        <f t="shared" si="255"/>
        <v>2.22335406909104+12.3382157841916i</v>
      </c>
      <c r="BJ263" s="20">
        <f t="shared" si="251"/>
        <v>21.963831154905357</v>
      </c>
      <c r="BK263" s="43">
        <f t="shared" si="256"/>
        <v>79.784893020164574</v>
      </c>
      <c r="BL263">
        <f t="shared" si="252"/>
        <v>8.97878505030355</v>
      </c>
      <c r="BM263" s="43">
        <f t="shared" si="253"/>
        <v>73.739934191856776</v>
      </c>
    </row>
    <row r="264" spans="14:65" x14ac:dyDescent="0.25">
      <c r="N264" s="9">
        <v>46</v>
      </c>
      <c r="O264" s="34">
        <f t="shared" si="254"/>
        <v>2884.0315031266077</v>
      </c>
      <c r="P264" s="33" t="str">
        <f t="shared" si="206"/>
        <v>19.6196196196196</v>
      </c>
      <c r="Q264" s="4" t="str">
        <f t="shared" si="207"/>
        <v>1+4.38629278201928i</v>
      </c>
      <c r="R264" s="4">
        <f t="shared" si="219"/>
        <v>4.4988403360860048</v>
      </c>
      <c r="S264" s="4">
        <f t="shared" si="220"/>
        <v>1.3466444829739435</v>
      </c>
      <c r="T264" s="4" t="str">
        <f t="shared" si="208"/>
        <v>1+0.0681346004157395i</v>
      </c>
      <c r="U264" s="4">
        <f t="shared" si="221"/>
        <v>1.0023184742255389</v>
      </c>
      <c r="V264" s="4">
        <f t="shared" si="222"/>
        <v>6.8029458829723652E-2</v>
      </c>
      <c r="W264" t="str">
        <f t="shared" si="209"/>
        <v>1-0.0396394783003804i</v>
      </c>
      <c r="X264" s="4">
        <f t="shared" si="223"/>
        <v>1.0007853357438479</v>
      </c>
      <c r="Y264" s="4">
        <f t="shared" si="224"/>
        <v>-3.961873616996088E-2</v>
      </c>
      <c r="Z264" t="str">
        <f t="shared" si="210"/>
        <v>0.999991682362289+0.0265341813929077i</v>
      </c>
      <c r="AA264" s="4">
        <f t="shared" si="225"/>
        <v>1.0003436547386866</v>
      </c>
      <c r="AB264" s="4">
        <f t="shared" si="226"/>
        <v>2.6528177327278423E-2</v>
      </c>
      <c r="AC264" s="47" t="str">
        <f t="shared" si="227"/>
        <v>0.980070956923132-4.26184138470408i</v>
      </c>
      <c r="AD264" s="20">
        <f t="shared" si="228"/>
        <v>12.815748986854555</v>
      </c>
      <c r="AE264" s="43">
        <f t="shared" si="229"/>
        <v>-77.049183476690402</v>
      </c>
      <c r="AF264" t="str">
        <f t="shared" si="211"/>
        <v>72.2956529813786</v>
      </c>
      <c r="AG264" t="str">
        <f t="shared" si="212"/>
        <v>1+3.57706652182633i</v>
      </c>
      <c r="AH264">
        <f t="shared" si="230"/>
        <v>3.7142165932496067</v>
      </c>
      <c r="AI264">
        <f t="shared" si="231"/>
        <v>1.2981969052215572</v>
      </c>
      <c r="AJ264" t="str">
        <f t="shared" si="213"/>
        <v>1+0.0681346004157395i</v>
      </c>
      <c r="AK264">
        <f t="shared" si="232"/>
        <v>1.0023184742255389</v>
      </c>
      <c r="AL264">
        <f t="shared" si="233"/>
        <v>6.8029458829723652E-2</v>
      </c>
      <c r="AM264" t="str">
        <f t="shared" si="214"/>
        <v>1-0.00877274510341278i</v>
      </c>
      <c r="AN264">
        <f t="shared" si="234"/>
        <v>1.0000384797879778</v>
      </c>
      <c r="AO264">
        <f t="shared" si="235"/>
        <v>-8.7725200605601183E-3</v>
      </c>
      <c r="AP264" s="41" t="str">
        <f t="shared" si="236"/>
        <v>6.3564802938416-18.4459487637588i</v>
      </c>
      <c r="AQ264">
        <f t="shared" si="237"/>
        <v>25.805348103167422</v>
      </c>
      <c r="AR264" s="43">
        <f t="shared" si="238"/>
        <v>-70.986031147801953</v>
      </c>
      <c r="AS264" t="str">
        <f t="shared" si="215"/>
        <v>-0.0000166666666666667</v>
      </c>
      <c r="AT264" t="str">
        <f t="shared" si="216"/>
        <v>0.0000616110748440198i</v>
      </c>
      <c r="AU264">
        <f t="shared" si="239"/>
        <v>6.1611074844019806E-5</v>
      </c>
      <c r="AV264">
        <f t="shared" si="240"/>
        <v>1.5707963267948966</v>
      </c>
      <c r="AW264" t="str">
        <f t="shared" si="217"/>
        <v>1+0.0615577780664732i</v>
      </c>
      <c r="AX264">
        <f t="shared" si="241"/>
        <v>1.001892888506791</v>
      </c>
      <c r="AY264">
        <f t="shared" si="242"/>
        <v>6.1480199512615512E-2</v>
      </c>
      <c r="AZ264" t="str">
        <f t="shared" si="218"/>
        <v>1+2.09296445426009i</v>
      </c>
      <c r="BA264">
        <f t="shared" si="243"/>
        <v>2.3195905256739247</v>
      </c>
      <c r="BB264">
        <f t="shared" si="244"/>
        <v>1.1250730857754703</v>
      </c>
      <c r="BC264" s="41" t="str">
        <f t="shared" si="245"/>
        <v>-0.547449737294613+0.304213925223262i</v>
      </c>
      <c r="BD264">
        <f t="shared" si="246"/>
        <v>-4.0644000708332646</v>
      </c>
      <c r="BE264" s="43">
        <f t="shared" si="247"/>
        <v>150.93938350299942</v>
      </c>
      <c r="BF264" s="41" t="str">
        <f t="shared" si="248"/>
        <v>0.759971908422122+2.63129517925046i</v>
      </c>
      <c r="BG264" s="20">
        <f t="shared" si="249"/>
        <v>8.7513489160212821</v>
      </c>
      <c r="BH264" s="43">
        <f t="shared" si="250"/>
        <v>73.890200026308989</v>
      </c>
      <c r="BI264" s="41" t="str">
        <f t="shared" si="255"/>
        <v>2.13166101090827+12.0319596256635i</v>
      </c>
      <c r="BJ264" s="20">
        <f t="shared" si="251"/>
        <v>21.740948032334153</v>
      </c>
      <c r="BK264" s="43">
        <f t="shared" si="256"/>
        <v>79.953352355197467</v>
      </c>
      <c r="BL264">
        <f t="shared" si="252"/>
        <v>8.7513489160212821</v>
      </c>
      <c r="BM264" s="43">
        <f t="shared" si="253"/>
        <v>73.890200026308989</v>
      </c>
    </row>
    <row r="265" spans="14:65" x14ac:dyDescent="0.25">
      <c r="N265" s="9">
        <v>47</v>
      </c>
      <c r="O265" s="34">
        <f t="shared" si="254"/>
        <v>2951.2092266663876</v>
      </c>
      <c r="P265" s="33" t="str">
        <f t="shared" si="206"/>
        <v>19.6196196196196</v>
      </c>
      <c r="Q265" s="4" t="str">
        <f t="shared" si="207"/>
        <v>1+4.48846266593197i</v>
      </c>
      <c r="R265" s="4">
        <f t="shared" si="219"/>
        <v>4.5985103135107925</v>
      </c>
      <c r="S265" s="4">
        <f t="shared" si="220"/>
        <v>1.3515831178630693</v>
      </c>
      <c r="T265" s="4" t="str">
        <f t="shared" si="208"/>
        <v>1+0.0697216591372756i</v>
      </c>
      <c r="U265" s="4">
        <f t="shared" si="221"/>
        <v>1.0024276082355545</v>
      </c>
      <c r="V265" s="4">
        <f t="shared" si="222"/>
        <v>6.960901262835216E-2</v>
      </c>
      <c r="W265" t="str">
        <f t="shared" si="209"/>
        <v>1-0.0405628003624443i</v>
      </c>
      <c r="X265" s="4">
        <f t="shared" si="223"/>
        <v>1.0008223322714394</v>
      </c>
      <c r="Y265" s="4">
        <f t="shared" si="224"/>
        <v>-4.0540575755448963E-2</v>
      </c>
      <c r="Z265" t="str">
        <f t="shared" si="210"/>
        <v>0.9999912903641+0.0271522418752688i</v>
      </c>
      <c r="AA265" s="4">
        <f t="shared" si="225"/>
        <v>1.0003598477762443</v>
      </c>
      <c r="AB265" s="4">
        <f t="shared" si="226"/>
        <v>2.7145808528001442E-2</v>
      </c>
      <c r="AC265" s="47" t="str">
        <f t="shared" si="227"/>
        <v>0.938514396841086-4.17465656423824i</v>
      </c>
      <c r="AD265" s="20">
        <f t="shared" si="228"/>
        <v>12.626543466175551</v>
      </c>
      <c r="AE265" s="43">
        <f t="shared" si="229"/>
        <v>-77.329849824951694</v>
      </c>
      <c r="AF265" t="str">
        <f t="shared" si="211"/>
        <v>72.2956529813786</v>
      </c>
      <c r="AG265" t="str">
        <f t="shared" si="212"/>
        <v>1+3.66038710470697i</v>
      </c>
      <c r="AH265">
        <f t="shared" si="230"/>
        <v>3.7945268158632208</v>
      </c>
      <c r="AI265">
        <f t="shared" si="231"/>
        <v>1.3041088446678091</v>
      </c>
      <c r="AJ265" t="str">
        <f t="shared" si="213"/>
        <v>1+0.0697216591372756i</v>
      </c>
      <c r="AK265">
        <f t="shared" si="232"/>
        <v>1.0024276082355545</v>
      </c>
      <c r="AL265">
        <f t="shared" si="233"/>
        <v>6.960901262835216E-2</v>
      </c>
      <c r="AM265" t="str">
        <f t="shared" si="214"/>
        <v>1-0.00897708858738759i</v>
      </c>
      <c r="AN265">
        <f t="shared" si="234"/>
        <v>1.0000402932479799</v>
      </c>
      <c r="AO265">
        <f t="shared" si="235"/>
        <v>-8.9768474501511954E-3</v>
      </c>
      <c r="AP265" s="41" t="str">
        <f t="shared" si="236"/>
        <v>6.1406500500083-18.085587864591i</v>
      </c>
      <c r="AQ265">
        <f t="shared" si="237"/>
        <v>25.620501526850003</v>
      </c>
      <c r="AR265" s="43">
        <f t="shared" si="238"/>
        <v>-71.245965657696317</v>
      </c>
      <c r="AS265" t="str">
        <f t="shared" si="215"/>
        <v>-0.0000166666666666667</v>
      </c>
      <c r="AT265" t="str">
        <f t="shared" si="216"/>
        <v>0.0000630461811347705i</v>
      </c>
      <c r="AU265">
        <f t="shared" si="239"/>
        <v>6.3046181134770505E-5</v>
      </c>
      <c r="AV265">
        <f t="shared" si="240"/>
        <v>1.5707963267948966</v>
      </c>
      <c r="AW265" t="str">
        <f t="shared" si="217"/>
        <v>1+0.0629916429157959i</v>
      </c>
      <c r="AX265">
        <f t="shared" si="241"/>
        <v>1.0019820093580678</v>
      </c>
      <c r="AY265">
        <f t="shared" si="242"/>
        <v>6.2908524875898222E-2</v>
      </c>
      <c r="AZ265" t="str">
        <f t="shared" si="218"/>
        <v>1+2.14171585913706i</v>
      </c>
      <c r="BA265">
        <f t="shared" si="243"/>
        <v>2.3636723168153395</v>
      </c>
      <c r="BB265">
        <f t="shared" si="244"/>
        <v>1.133964979498614</v>
      </c>
      <c r="BC265" s="41" t="str">
        <f t="shared" si="245"/>
        <v>-0.547352356271008+0.298835106466304i</v>
      </c>
      <c r="BD265">
        <f t="shared" si="246"/>
        <v>-4.1016538161102609</v>
      </c>
      <c r="BE265" s="43">
        <f t="shared" si="247"/>
        <v>151.3670144701268</v>
      </c>
      <c r="BF265" s="41" t="str">
        <f t="shared" si="248"/>
        <v>0.733835872329157+2.5654691567582i</v>
      </c>
      <c r="BG265" s="20">
        <f t="shared" si="249"/>
        <v>8.5248896500653011</v>
      </c>
      <c r="BH265" s="43">
        <f t="shared" si="250"/>
        <v>74.037164645175125</v>
      </c>
      <c r="BI265" s="41" t="str">
        <f t="shared" si="255"/>
        <v>2.04350930111302+11.7342309436968i</v>
      </c>
      <c r="BJ265" s="20">
        <f t="shared" si="251"/>
        <v>21.518847710739756</v>
      </c>
      <c r="BK265" s="43">
        <f t="shared" si="256"/>
        <v>80.121048812430516</v>
      </c>
      <c r="BL265">
        <f t="shared" si="252"/>
        <v>8.5248896500653011</v>
      </c>
      <c r="BM265" s="43">
        <f t="shared" si="253"/>
        <v>74.037164645175125</v>
      </c>
    </row>
    <row r="266" spans="14:65" x14ac:dyDescent="0.25">
      <c r="N266" s="9">
        <v>48</v>
      </c>
      <c r="O266" s="34">
        <f t="shared" si="254"/>
        <v>3019.9517204020176</v>
      </c>
      <c r="P266" s="33" t="str">
        <f t="shared" si="206"/>
        <v>19.6196196196196</v>
      </c>
      <c r="Q266" s="4" t="str">
        <f t="shared" si="207"/>
        <v>1+4.59301239216198i</v>
      </c>
      <c r="R266" s="4">
        <f t="shared" si="219"/>
        <v>4.7006130275266775</v>
      </c>
      <c r="S266" s="4">
        <f t="shared" si="220"/>
        <v>1.3564198599356341</v>
      </c>
      <c r="T266" s="4" t="str">
        <f t="shared" si="208"/>
        <v>1+0.0713456852053615i</v>
      </c>
      <c r="U266" s="4">
        <f t="shared" si="221"/>
        <v>1.002541872839944</v>
      </c>
      <c r="V266" s="4">
        <f t="shared" si="222"/>
        <v>7.1224998818760307E-2</v>
      </c>
      <c r="W266" t="str">
        <f t="shared" si="209"/>
        <v>1-0.0415076293581725i</v>
      </c>
      <c r="X266" s="4">
        <f t="shared" si="223"/>
        <v>1.000861070925898</v>
      </c>
      <c r="Y266" s="4">
        <f t="shared" si="224"/>
        <v>-4.1483816369119249E-2</v>
      </c>
      <c r="Z266" t="str">
        <f t="shared" si="210"/>
        <v>0.999990879891606+0.0277846988356746i</v>
      </c>
      <c r="AA266" s="4">
        <f t="shared" si="225"/>
        <v>1.0003768036873792</v>
      </c>
      <c r="AB266" s="4">
        <f t="shared" si="226"/>
        <v>2.7777805520085946E-2</v>
      </c>
      <c r="AC266" s="47" t="str">
        <f t="shared" si="227"/>
        <v>0.898653542075416-4.08888956187573i</v>
      </c>
      <c r="AD266" s="20">
        <f t="shared" si="228"/>
        <v>12.436975769321002</v>
      </c>
      <c r="AE266" s="43">
        <f t="shared" si="229"/>
        <v>-77.604640010381232</v>
      </c>
      <c r="AF266" t="str">
        <f t="shared" si="211"/>
        <v>72.2956529813786</v>
      </c>
      <c r="AG266" t="str">
        <f t="shared" si="212"/>
        <v>1+3.74564847328148i</v>
      </c>
      <c r="AH266">
        <f t="shared" si="230"/>
        <v>3.8768392390445956</v>
      </c>
      <c r="AI266">
        <f t="shared" si="231"/>
        <v>1.3099047236939827</v>
      </c>
      <c r="AJ266" t="str">
        <f t="shared" si="213"/>
        <v>1+0.0713456852053615i</v>
      </c>
      <c r="AK266">
        <f t="shared" si="232"/>
        <v>1.002541872839944</v>
      </c>
      <c r="AL266">
        <f t="shared" si="233"/>
        <v>7.1224998818760307E-2</v>
      </c>
      <c r="AM266" t="str">
        <f t="shared" si="214"/>
        <v>1-0.00918619184255725i</v>
      </c>
      <c r="AN266">
        <f t="shared" si="234"/>
        <v>1.0000421921701945</v>
      </c>
      <c r="AO266">
        <f t="shared" si="235"/>
        <v>-9.1859334599420049E-3</v>
      </c>
      <c r="AP266" s="41" t="str">
        <f t="shared" si="236"/>
        <v>5.9332106879582-17.7298603933524i</v>
      </c>
      <c r="AQ266">
        <f t="shared" si="237"/>
        <v>25.435104726605829</v>
      </c>
      <c r="AR266" s="43">
        <f t="shared" si="238"/>
        <v>-71.49743562191891</v>
      </c>
      <c r="AS266" t="str">
        <f t="shared" si="215"/>
        <v>-0.0000166666666666667</v>
      </c>
      <c r="AT266" t="str">
        <f t="shared" si="216"/>
        <v>0.0000645147153452737i</v>
      </c>
      <c r="AU266">
        <f t="shared" si="239"/>
        <v>6.4514715345273698E-5</v>
      </c>
      <c r="AV266">
        <f t="shared" si="240"/>
        <v>1.5707963267948966</v>
      </c>
      <c r="AW266" t="str">
        <f t="shared" si="217"/>
        <v>1+0.0644589067679856i</v>
      </c>
      <c r="AX266">
        <f t="shared" si="241"/>
        <v>1.0020753218504703</v>
      </c>
      <c r="AY266">
        <f t="shared" si="242"/>
        <v>6.4369854142571598E-2</v>
      </c>
      <c r="AZ266" t="str">
        <f t="shared" si="218"/>
        <v>1+2.19160283011151i</v>
      </c>
      <c r="BA266">
        <f t="shared" si="243"/>
        <v>2.4089671988121339</v>
      </c>
      <c r="BB266">
        <f t="shared" si="244"/>
        <v>1.142726400234177</v>
      </c>
      <c r="BC266" s="41" t="str">
        <f t="shared" si="245"/>
        <v>-0.547250422946341+0.293614158087112i</v>
      </c>
      <c r="BD266">
        <f t="shared" si="246"/>
        <v>-4.1375903219737005</v>
      </c>
      <c r="BE266" s="43">
        <f t="shared" si="247"/>
        <v>151.78527890135365</v>
      </c>
      <c r="BF266" s="41" t="str">
        <f t="shared" si="248"/>
        <v>0.708767335238324+2.50150394528585i</v>
      </c>
      <c r="BG266" s="20">
        <f t="shared" si="249"/>
        <v>8.2993854473473139</v>
      </c>
      <c r="BH266" s="43">
        <f t="shared" si="250"/>
        <v>74.18063889097246</v>
      </c>
      <c r="BI266" s="41" t="str">
        <f t="shared" si="255"/>
        <v>1.95878597398132+11.44474825994i</v>
      </c>
      <c r="BJ266" s="20">
        <f t="shared" si="251"/>
        <v>21.297514404632146</v>
      </c>
      <c r="BK266" s="43">
        <f t="shared" si="256"/>
        <v>80.287843279434782</v>
      </c>
      <c r="BL266">
        <f t="shared" si="252"/>
        <v>8.2993854473473139</v>
      </c>
      <c r="BM266" s="43">
        <f t="shared" si="253"/>
        <v>74.18063889097246</v>
      </c>
    </row>
    <row r="267" spans="14:65" x14ac:dyDescent="0.25">
      <c r="N267" s="9">
        <v>49</v>
      </c>
      <c r="O267" s="34">
        <f t="shared" si="254"/>
        <v>3090.295432513592</v>
      </c>
      <c r="P267" s="33" t="str">
        <f t="shared" si="206"/>
        <v>19.6196196196196</v>
      </c>
      <c r="Q267" s="4" t="str">
        <f t="shared" si="207"/>
        <v>1+4.69999739435802i</v>
      </c>
      <c r="R267" s="4">
        <f t="shared" si="219"/>
        <v>4.8052029620997461</v>
      </c>
      <c r="S267" s="4">
        <f t="shared" si="220"/>
        <v>1.3611563680734184</v>
      </c>
      <c r="T267" s="4" t="str">
        <f t="shared" si="208"/>
        <v>1+0.073007539700115i</v>
      </c>
      <c r="U267" s="4">
        <f t="shared" si="221"/>
        <v>1.0026615086124848</v>
      </c>
      <c r="V267" s="4">
        <f t="shared" si="222"/>
        <v>7.2878240439224626E-2</v>
      </c>
      <c r="W267" t="str">
        <f t="shared" si="209"/>
        <v>1-0.0424744662484048i</v>
      </c>
      <c r="X267" s="4">
        <f t="shared" si="223"/>
        <v>1.0009016336699061</v>
      </c>
      <c r="Y267" s="4">
        <f t="shared" si="224"/>
        <v>-4.2448951412172302E-2</v>
      </c>
      <c r="Z267" t="str">
        <f t="shared" si="210"/>
        <v>0.99999045007414+0.028431887611177i</v>
      </c>
      <c r="AA267" s="4">
        <f t="shared" si="225"/>
        <v>1.0003945583981428</v>
      </c>
      <c r="AB267" s="4">
        <f t="shared" si="226"/>
        <v>2.8424501447752146E-2</v>
      </c>
      <c r="AC267" s="47" t="str">
        <f t="shared" si="227"/>
        <v>0.86042623398218-4.00454323881692i</v>
      </c>
      <c r="AD267" s="20">
        <f t="shared" si="228"/>
        <v>12.247065348344819</v>
      </c>
      <c r="AE267" s="43">
        <f t="shared" si="229"/>
        <v>-77.873649280848369</v>
      </c>
      <c r="AF267" t="str">
        <f t="shared" si="211"/>
        <v>72.2956529813786</v>
      </c>
      <c r="AG267" t="str">
        <f t="shared" si="212"/>
        <v>1+3.83289583425604i</v>
      </c>
      <c r="AH267">
        <f t="shared" si="230"/>
        <v>3.9611981112104586</v>
      </c>
      <c r="AI267">
        <f t="shared" si="231"/>
        <v>1.3155860571475806</v>
      </c>
      <c r="AJ267" t="str">
        <f t="shared" si="213"/>
        <v>1+0.073007539700115i</v>
      </c>
      <c r="AK267">
        <f t="shared" si="232"/>
        <v>1.0026615086124848</v>
      </c>
      <c r="AL267">
        <f t="shared" si="233"/>
        <v>7.2878240439224626E-2</v>
      </c>
      <c r="AM267" t="str">
        <f t="shared" si="214"/>
        <v>1-0.00940016573823546i</v>
      </c>
      <c r="AN267">
        <f t="shared" si="234"/>
        <v>1.0000441805819913</v>
      </c>
      <c r="AO267">
        <f t="shared" si="235"/>
        <v>-9.3998888769356876E-3</v>
      </c>
      <c r="AP267" s="41" t="str">
        <f t="shared" si="236"/>
        <v>5.73388957926071-17.3788648474277i</v>
      </c>
      <c r="AQ267">
        <f t="shared" si="237"/>
        <v>25.249183027346326</v>
      </c>
      <c r="AR267" s="43">
        <f t="shared" si="238"/>
        <v>-71.740487025846306</v>
      </c>
      <c r="AS267" t="str">
        <f t="shared" si="215"/>
        <v>-0.0000166666666666667</v>
      </c>
      <c r="AT267" t="str">
        <f t="shared" si="216"/>
        <v>0.0000660174561118062i</v>
      </c>
      <c r="AU267">
        <f t="shared" si="239"/>
        <v>6.6017456111806203E-5</v>
      </c>
      <c r="AV267">
        <f t="shared" si="240"/>
        <v>1.5707963267948966</v>
      </c>
      <c r="AW267" t="str">
        <f t="shared" si="217"/>
        <v>1+0.0659603475857581i</v>
      </c>
      <c r="AX267">
        <f t="shared" si="241"/>
        <v>1.0021730227129615</v>
      </c>
      <c r="AY267">
        <f t="shared" si="242"/>
        <v>6.586493714952682E-2</v>
      </c>
      <c r="AZ267" t="str">
        <f t="shared" si="218"/>
        <v>1+2.24265181791577i</v>
      </c>
      <c r="BA267">
        <f t="shared" si="243"/>
        <v>2.4555014103846302</v>
      </c>
      <c r="BB267">
        <f t="shared" si="244"/>
        <v>1.1513566119904406</v>
      </c>
      <c r="BC267" s="41" t="str">
        <f t="shared" si="245"/>
        <v>-0.547143726336284+0.288548271023084i</v>
      </c>
      <c r="BD267">
        <f t="shared" si="246"/>
        <v>-4.1722511149677928</v>
      </c>
      <c r="BE267" s="43">
        <f t="shared" si="247"/>
        <v>152.19409166497138</v>
      </c>
      <c r="BF267" s="41" t="str">
        <f t="shared" si="248"/>
        <v>0.684727211899298+2.43933521211952i</v>
      </c>
      <c r="BG267" s="20">
        <f t="shared" si="249"/>
        <v>8.0748142333770172</v>
      </c>
      <c r="BH267" s="43">
        <f t="shared" si="250"/>
        <v>74.320442384123012</v>
      </c>
      <c r="BI267" s="41" t="str">
        <f t="shared" si="255"/>
        <v>1.87737969327162+11.1632407964492i</v>
      </c>
      <c r="BJ267" s="20">
        <f t="shared" si="251"/>
        <v>21.076931912378527</v>
      </c>
      <c r="BK267" s="43">
        <f t="shared" si="256"/>
        <v>80.453604639125089</v>
      </c>
      <c r="BL267">
        <f t="shared" si="252"/>
        <v>8.0748142333770172</v>
      </c>
      <c r="BM267" s="43">
        <f t="shared" si="253"/>
        <v>74.320442384123012</v>
      </c>
    </row>
    <row r="268" spans="14:65" x14ac:dyDescent="0.25">
      <c r="N268" s="9">
        <v>50</v>
      </c>
      <c r="O268" s="34">
        <f t="shared" si="254"/>
        <v>3162.2776601683804</v>
      </c>
      <c r="P268" s="33" t="str">
        <f t="shared" si="206"/>
        <v>19.6196196196196</v>
      </c>
      <c r="Q268" s="4" t="str">
        <f t="shared" si="207"/>
        <v>1+4.80947439738435i</v>
      </c>
      <c r="R268" s="4">
        <f t="shared" si="219"/>
        <v>4.9123358984393111</v>
      </c>
      <c r="S268" s="4">
        <f t="shared" si="220"/>
        <v>1.3657943031528992</v>
      </c>
      <c r="T268" s="4" t="str">
        <f t="shared" si="208"/>
        <v>1+0.0747081037587866i</v>
      </c>
      <c r="U268" s="4">
        <f t="shared" si="221"/>
        <v>1.0027867673474924</v>
      </c>
      <c r="V268" s="4">
        <f t="shared" si="222"/>
        <v>7.4569577890838415E-2</v>
      </c>
      <c r="W268" t="str">
        <f t="shared" si="209"/>
        <v>1-0.0434638236628579i</v>
      </c>
      <c r="X268" s="4">
        <f t="shared" si="223"/>
        <v>1.0009441063153306</v>
      </c>
      <c r="Y268" s="4">
        <f t="shared" si="224"/>
        <v>-4.3436485415809037E-2</v>
      </c>
      <c r="Z268" t="str">
        <f t="shared" si="210"/>
        <v>0.99999+0.0290941513498314i</v>
      </c>
      <c r="AA268" s="4">
        <f t="shared" si="225"/>
        <v>1.0004131495251183</v>
      </c>
      <c r="AB268" s="4">
        <f t="shared" si="226"/>
        <v>2.9086237109620546E-2</v>
      </c>
      <c r="AC268" s="47" t="str">
        <f t="shared" si="227"/>
        <v>0.823771979870263-3.92161846542369i</v>
      </c>
      <c r="AD268" s="20">
        <f t="shared" si="228"/>
        <v>12.056831144171657</v>
      </c>
      <c r="AE268" s="43">
        <f t="shared" si="229"/>
        <v>-78.136973079960782</v>
      </c>
      <c r="AF268" t="str">
        <f t="shared" si="211"/>
        <v>72.2956529813786</v>
      </c>
      <c r="AG268" t="str">
        <f t="shared" si="212"/>
        <v>1+3.9221754473363i</v>
      </c>
      <c r="AH268">
        <f t="shared" si="230"/>
        <v>4.0476487297797599</v>
      </c>
      <c r="AI268">
        <f t="shared" si="231"/>
        <v>1.3211543897047389</v>
      </c>
      <c r="AJ268" t="str">
        <f t="shared" si="213"/>
        <v>1+0.0747081037587866i</v>
      </c>
      <c r="AK268">
        <f t="shared" si="232"/>
        <v>1.0027867673474924</v>
      </c>
      <c r="AL268">
        <f t="shared" si="233"/>
        <v>7.4569577890838415E-2</v>
      </c>
      <c r="AM268" t="str">
        <f t="shared" si="214"/>
        <v>1-0.00961912372621397i</v>
      </c>
      <c r="AN268">
        <f t="shared" si="234"/>
        <v>1.0000462627005113</v>
      </c>
      <c r="AO268">
        <f t="shared" si="235"/>
        <v>-9.6188270647275878E-3</v>
      </c>
      <c r="AP268" s="41" t="str">
        <f t="shared" si="236"/>
        <v>5.54241847248863-17.0326873383113i</v>
      </c>
      <c r="AQ268">
        <f t="shared" si="237"/>
        <v>25.062761090209552</v>
      </c>
      <c r="AR268" s="43">
        <f t="shared" si="238"/>
        <v>-71.97516671672156</v>
      </c>
      <c r="AS268" t="str">
        <f t="shared" si="215"/>
        <v>-0.0000166666666666667</v>
      </c>
      <c r="AT268" t="str">
        <f t="shared" si="216"/>
        <v>0.0000675552002074135i</v>
      </c>
      <c r="AU268">
        <f t="shared" si="239"/>
        <v>6.75552002074135E-5</v>
      </c>
      <c r="AV268">
        <f t="shared" si="240"/>
        <v>1.5707963267948966</v>
      </c>
      <c r="AW268" t="str">
        <f t="shared" si="217"/>
        <v>1+0.0674967614529089i</v>
      </c>
      <c r="AX268">
        <f t="shared" si="241"/>
        <v>1.002275317867616</v>
      </c>
      <c r="AY268">
        <f t="shared" si="242"/>
        <v>6.7394539859151711E-2</v>
      </c>
      <c r="AZ268" t="str">
        <f t="shared" si="218"/>
        <v>1+2.2948898893989i</v>
      </c>
      <c r="BA268">
        <f t="shared" si="243"/>
        <v>2.5033017405948677</v>
      </c>
      <c r="BB268">
        <f t="shared" si="244"/>
        <v>1.1598550473179552</v>
      </c>
      <c r="BC268" s="41" t="str">
        <f t="shared" si="245"/>
        <v>-0.547032045853153+0.283634715547651i</v>
      </c>
      <c r="BD268">
        <f t="shared" si="246"/>
        <v>-4.2056773991412673</v>
      </c>
      <c r="BE268" s="43">
        <f t="shared" si="247"/>
        <v>152.59337636210961</v>
      </c>
      <c r="BF268" s="41" t="str">
        <f t="shared" si="248"/>
        <v>0.661677466461932+2.37890130338285i</v>
      </c>
      <c r="BG268" s="20">
        <f t="shared" si="249"/>
        <v>7.8511537450303859</v>
      </c>
      <c r="BH268" s="43">
        <f t="shared" si="250"/>
        <v>74.456403282148784</v>
      </c>
      <c r="BI268" s="41" t="str">
        <f t="shared" si="255"/>
        <v>1.79918091223424+10.8894480879439i</v>
      </c>
      <c r="BJ268" s="20">
        <f t="shared" si="251"/>
        <v>20.857083691068294</v>
      </c>
      <c r="BK268" s="43">
        <f t="shared" si="256"/>
        <v>80.618209645388063</v>
      </c>
      <c r="BL268">
        <f t="shared" si="252"/>
        <v>7.8511537450303859</v>
      </c>
      <c r="BM268" s="43">
        <f t="shared" si="253"/>
        <v>74.456403282148784</v>
      </c>
    </row>
    <row r="269" spans="14:65" x14ac:dyDescent="0.25">
      <c r="N269" s="9">
        <v>51</v>
      </c>
      <c r="O269" s="34">
        <f t="shared" si="254"/>
        <v>3235.9365692962833</v>
      </c>
      <c r="P269" s="33" t="str">
        <f t="shared" si="206"/>
        <v>19.6196196196196</v>
      </c>
      <c r="Q269" s="4" t="str">
        <f t="shared" si="207"/>
        <v>1+4.92150144739711i</v>
      </c>
      <c r="R269" s="4">
        <f t="shared" si="219"/>
        <v>5.0220689458361534</v>
      </c>
      <c r="S269" s="4">
        <f t="shared" si="220"/>
        <v>1.3703353257837783</v>
      </c>
      <c r="T269" s="4" t="str">
        <f t="shared" si="208"/>
        <v>1+0.0764482790429497i</v>
      </c>
      <c r="U269" s="4">
        <f t="shared" si="221"/>
        <v>1.0029179125774097</v>
      </c>
      <c r="V269" s="4">
        <f t="shared" si="222"/>
        <v>7.6299869215201127E-2</v>
      </c>
      <c r="W269" t="str">
        <f t="shared" si="209"/>
        <v>1-0.0444762261719289i</v>
      </c>
      <c r="X269" s="4">
        <f t="shared" si="223"/>
        <v>1.0009885787033219</v>
      </c>
      <c r="Y269" s="4">
        <f t="shared" si="224"/>
        <v>-4.4446934274711108E-2</v>
      </c>
      <c r="Z269" t="str">
        <f t="shared" si="210"/>
        <v>0.99998952871452+0.0297718411926381i</v>
      </c>
      <c r="AA269" s="4">
        <f t="shared" si="225"/>
        <v>1.0004326164548452</v>
      </c>
      <c r="AB269" s="4">
        <f t="shared" si="226"/>
        <v>2.9763361129480723E-2</v>
      </c>
      <c r="AC269" s="47" t="str">
        <f t="shared" si="227"/>
        <v>0.788631962428533-3.8401142573252i</v>
      </c>
      <c r="AD269" s="20">
        <f t="shared" si="228"/>
        <v>11.866291608822554</v>
      </c>
      <c r="AE269" s="43">
        <f t="shared" si="229"/>
        <v>-78.394706924743289</v>
      </c>
      <c r="AF269" t="str">
        <f t="shared" si="211"/>
        <v>72.2956529813786</v>
      </c>
      <c r="AG269" t="str">
        <f t="shared" si="212"/>
        <v>1+4.01353464975486i</v>
      </c>
      <c r="AH269">
        <f t="shared" si="230"/>
        <v>4.1362374671654027</v>
      </c>
      <c r="AI269">
        <f t="shared" si="231"/>
        <v>1.3266112919615223</v>
      </c>
      <c r="AJ269" t="str">
        <f t="shared" si="213"/>
        <v>1+0.0764482790429497i</v>
      </c>
      <c r="AK269">
        <f t="shared" si="232"/>
        <v>1.0029179125774097</v>
      </c>
      <c r="AL269">
        <f t="shared" si="233"/>
        <v>7.6299869215201127E-2</v>
      </c>
      <c r="AM269" t="str">
        <f t="shared" si="214"/>
        <v>1-0.00984318190091629i</v>
      </c>
      <c r="AN269">
        <f t="shared" si="234"/>
        <v>1.0000484429416081</v>
      </c>
      <c r="AO269">
        <f t="shared" si="235"/>
        <v>-9.842864023238149E-3</v>
      </c>
      <c r="AP269" s="41" t="str">
        <f t="shared" si="236"/>
        <v>5.35853383591999-16.6914022325772i</v>
      </c>
      <c r="AQ269">
        <f t="shared" si="237"/>
        <v>24.875862929751303</v>
      </c>
      <c r="AR269" s="43">
        <f t="shared" si="238"/>
        <v>-72.201522167214151</v>
      </c>
      <c r="AS269" t="str">
        <f t="shared" si="215"/>
        <v>-0.0000166666666666667</v>
      </c>
      <c r="AT269" t="str">
        <f t="shared" si="216"/>
        <v>0.0000691287629643696i</v>
      </c>
      <c r="AU269">
        <f t="shared" si="239"/>
        <v>6.91287629643696E-5</v>
      </c>
      <c r="AV269">
        <f t="shared" si="240"/>
        <v>1.5707963267948966</v>
      </c>
      <c r="AW269" t="str">
        <f t="shared" si="217"/>
        <v>1+0.0690689629964073i</v>
      </c>
      <c r="AX269">
        <f t="shared" si="241"/>
        <v>1.0023824228553686</v>
      </c>
      <c r="AY269">
        <f t="shared" si="242"/>
        <v>6.8959444640635331E-2</v>
      </c>
      <c r="AZ269" t="str">
        <f t="shared" si="218"/>
        <v>1+2.34834474187785i</v>
      </c>
      <c r="BA269">
        <f t="shared" si="243"/>
        <v>2.5523955466787167</v>
      </c>
      <c r="BB269">
        <f t="shared" si="244"/>
        <v>1.168221300865411</v>
      </c>
      <c r="BC269" s="41" t="str">
        <f t="shared" si="245"/>
        <v>-0.546915150885604+0.278870839622047i</v>
      </c>
      <c r="BD269">
        <f t="shared" si="246"/>
        <v>-4.2379100022514447</v>
      </c>
      <c r="BE269" s="43">
        <f t="shared" si="247"/>
        <v>152.98306494139641</v>
      </c>
      <c r="BF269" s="41" t="str">
        <f t="shared" si="248"/>
        <v>0.639581118460061+2.3201431259782i</v>
      </c>
      <c r="BG269" s="20">
        <f t="shared" si="249"/>
        <v>7.6283816065711179</v>
      </c>
      <c r="BH269" s="43">
        <f t="shared" si="250"/>
        <v>74.588358016653132</v>
      </c>
      <c r="BI269" s="41" t="str">
        <f t="shared" si="255"/>
        <v>1.72408201367032+10.6231196004884i</v>
      </c>
      <c r="BJ269" s="20">
        <f t="shared" si="251"/>
        <v>20.637952927499839</v>
      </c>
      <c r="BK269" s="43">
        <f t="shared" si="256"/>
        <v>80.781542774182242</v>
      </c>
      <c r="BL269">
        <f t="shared" si="252"/>
        <v>7.6283816065711179</v>
      </c>
      <c r="BM269" s="43">
        <f t="shared" si="253"/>
        <v>74.588358016653132</v>
      </c>
    </row>
    <row r="270" spans="14:65" x14ac:dyDescent="0.25">
      <c r="N270" s="9">
        <v>52</v>
      </c>
      <c r="O270" s="34">
        <f t="shared" si="254"/>
        <v>3311.3112148259115</v>
      </c>
      <c r="P270" s="33" t="str">
        <f t="shared" si="206"/>
        <v>19.6196196196196</v>
      </c>
      <c r="Q270" s="4" t="str">
        <f t="shared" si="207"/>
        <v>1+5.03613794262107i</v>
      </c>
      <c r="R270" s="4">
        <f t="shared" si="219"/>
        <v>5.1344605731379014</v>
      </c>
      <c r="S270" s="4">
        <f t="shared" si="220"/>
        <v>1.3747810942039929</v>
      </c>
      <c r="T270" s="4" t="str">
        <f t="shared" si="208"/>
        <v>1+0.0782289882165743i</v>
      </c>
      <c r="U270" s="4">
        <f t="shared" si="221"/>
        <v>1.0030552201137228</v>
      </c>
      <c r="V270" s="4">
        <f t="shared" si="222"/>
        <v>7.8069990369823247E-2</v>
      </c>
      <c r="W270" t="str">
        <f t="shared" si="209"/>
        <v>1-0.0455122105648289i</v>
      </c>
      <c r="X270" s="4">
        <f t="shared" si="223"/>
        <v>1.0010351448927741</v>
      </c>
      <c r="Y270" s="4">
        <f t="shared" si="224"/>
        <v>-4.5480825484136976E-2</v>
      </c>
      <c r="Z270" t="str">
        <f t="shared" si="210"/>
        <v>0.999989035218039+0.0304653164597222i</v>
      </c>
      <c r="AA270" s="4">
        <f t="shared" si="225"/>
        <v>1.0004530004269541</v>
      </c>
      <c r="AB270" s="4">
        <f t="shared" si="226"/>
        <v>3.045623013050312E-2</v>
      </c>
      <c r="AC270" s="47" t="str">
        <f>(IMDIV(IMPRODUCT(P270,T270,W270),IMPRODUCT(Q270,Z270)))</f>
        <v>0.754949042997828-3.76002790596155i</v>
      </c>
      <c r="AD270" s="20">
        <f t="shared" si="228"/>
        <v>11.675464727929377</v>
      </c>
      <c r="AE270" s="43">
        <f t="shared" si="229"/>
        <v>-78.646946292817248</v>
      </c>
      <c r="AF270" t="str">
        <f t="shared" si="211"/>
        <v>72.2956529813786</v>
      </c>
      <c r="AG270" t="str">
        <f t="shared" si="212"/>
        <v>1+4.10702188137016i</v>
      </c>
      <c r="AH270">
        <f t="shared" si="230"/>
        <v>4.2270117972455781</v>
      </c>
      <c r="AI270">
        <f t="shared" si="231"/>
        <v>1.3319583567310342</v>
      </c>
      <c r="AJ270" t="str">
        <f t="shared" si="213"/>
        <v>1+0.0782289882165743i</v>
      </c>
      <c r="AK270">
        <f t="shared" si="232"/>
        <v>1.0030552201137228</v>
      </c>
      <c r="AL270">
        <f t="shared" si="233"/>
        <v>7.8069990369823247E-2</v>
      </c>
      <c r="AM270" t="str">
        <f t="shared" si="214"/>
        <v>1-0.0100724590609524i</v>
      </c>
      <c r="AN270">
        <f t="shared" si="234"/>
        <v>1.0000507259292073</v>
      </c>
      <c r="AO270">
        <f t="shared" si="235"/>
        <v>-1.007211844981667E-2</v>
      </c>
      <c r="AP270" s="41" t="str">
        <f t="shared" si="236"/>
        <v>5.18197715439324-16.3550727816033i</v>
      </c>
      <c r="AQ270">
        <f t="shared" si="237"/>
        <v>24.688511932222738</v>
      </c>
      <c r="AR270" s="43">
        <f t="shared" si="238"/>
        <v>-72.419601250981316</v>
      </c>
      <c r="AS270" t="str">
        <f t="shared" si="215"/>
        <v>-0.0000166666666666667</v>
      </c>
      <c r="AT270" t="str">
        <f t="shared" si="216"/>
        <v>0.0000707389787064767i</v>
      </c>
      <c r="AU270">
        <f t="shared" si="239"/>
        <v>7.0738978706476701E-5</v>
      </c>
      <c r="AV270">
        <f t="shared" si="240"/>
        <v>1.5707963267948966</v>
      </c>
      <c r="AW270" t="str">
        <f t="shared" si="217"/>
        <v>1+0.0706777858183226i</v>
      </c>
      <c r="AX270">
        <f t="shared" si="241"/>
        <v>1.0024945632811086</v>
      </c>
      <c r="AY270">
        <f t="shared" si="242"/>
        <v>7.0560450551269152E-2</v>
      </c>
      <c r="AZ270" t="str">
        <f t="shared" si="218"/>
        <v>1+2.40304471782296i</v>
      </c>
      <c r="BA270">
        <f t="shared" si="243"/>
        <v>2.6028107721954798</v>
      </c>
      <c r="BB270">
        <f t="shared" si="244"/>
        <v>1.1764551227665088</v>
      </c>
      <c r="BC270" s="41" t="str">
        <f t="shared" si="245"/>
        <v>-0.546792800361604+0.274254067274516i</v>
      </c>
      <c r="BD270">
        <f t="shared" si="246"/>
        <v>-4.2689893270086534</v>
      </c>
      <c r="BE270" s="43">
        <f t="shared" si="247"/>
        <v>153.36309730393668</v>
      </c>
      <c r="BF270" s="41" t="str">
        <f t="shared" si="248"/>
        <v>0.618402244924541+2.26300403376565i</v>
      </c>
      <c r="BG270" s="20">
        <f t="shared" si="249"/>
        <v>7.4064754009207148</v>
      </c>
      <c r="BH270" s="43">
        <f t="shared" si="250"/>
        <v>74.716151011119422</v>
      </c>
      <c r="BI270" s="41" t="str">
        <f t="shared" si="255"/>
        <v>1.6519774312649+10.3640143574867i</v>
      </c>
      <c r="BJ270" s="20">
        <f t="shared" si="251"/>
        <v>20.419522605214091</v>
      </c>
      <c r="BK270" s="43">
        <f t="shared" si="256"/>
        <v>80.943496052955396</v>
      </c>
      <c r="BL270">
        <f t="shared" si="252"/>
        <v>7.4064754009207148</v>
      </c>
      <c r="BM270" s="43">
        <f t="shared" si="253"/>
        <v>74.716151011119422</v>
      </c>
    </row>
    <row r="271" spans="14:65" x14ac:dyDescent="0.25">
      <c r="N271" s="9">
        <v>53</v>
      </c>
      <c r="O271" s="34">
        <f t="shared" si="254"/>
        <v>3388.4415613920314</v>
      </c>
      <c r="P271" s="33" t="str">
        <f t="shared" si="206"/>
        <v>19.6196196196196</v>
      </c>
      <c r="Q271" s="4" t="str">
        <f t="shared" si="207"/>
        <v>1+5.15344466484336i</v>
      </c>
      <c r="R271" s="4">
        <f t="shared" si="219"/>
        <v>5.2495706408812612</v>
      </c>
      <c r="S271" s="4">
        <f t="shared" si="220"/>
        <v>1.3791332623246693</v>
      </c>
      <c r="T271" s="4" t="str">
        <f t="shared" si="208"/>
        <v>1+0.0800511754352343i</v>
      </c>
      <c r="U271" s="4">
        <f t="shared" si="221"/>
        <v>1.0031989786122006</v>
      </c>
      <c r="V271" s="4">
        <f t="shared" si="222"/>
        <v>7.9880835500601169E-2</v>
      </c>
      <c r="W271" t="str">
        <f t="shared" si="209"/>
        <v>1-0.0465723261341955i</v>
      </c>
      <c r="X271" s="4">
        <f t="shared" si="223"/>
        <v>1.0010839033575307</v>
      </c>
      <c r="Y271" s="4">
        <f t="shared" si="224"/>
        <v>-4.653869838059143E-2</v>
      </c>
      <c r="Z271" t="str">
        <f t="shared" si="210"/>
        <v>0.999988518463785+0.0311749448408492i</v>
      </c>
      <c r="AA271" s="4">
        <f t="shared" si="225"/>
        <v>1.000474344621203</v>
      </c>
      <c r="AB271" s="4">
        <f t="shared" si="226"/>
        <v>3.1165208912934117E-2</v>
      </c>
      <c r="AC271" s="47" t="str">
        <f t="shared" si="227"/>
        <v>0.722667759275594-3.68135510354565i</v>
      </c>
      <c r="AD271" s="20">
        <f t="shared" si="228"/>
        <v>11.484368043486571</v>
      </c>
      <c r="AE271" s="43">
        <f t="shared" si="229"/>
        <v>-78.893786518743767</v>
      </c>
      <c r="AF271" t="str">
        <f t="shared" si="211"/>
        <v>72.2956529813786</v>
      </c>
      <c r="AG271" t="str">
        <f t="shared" si="212"/>
        <v>1+4.2026867103498i</v>
      </c>
      <c r="AH271">
        <f t="shared" si="230"/>
        <v>4.3200203223307678</v>
      </c>
      <c r="AI271">
        <f t="shared" si="231"/>
        <v>1.3371971955423534</v>
      </c>
      <c r="AJ271" t="str">
        <f t="shared" si="213"/>
        <v>1+0.0800511754352343i</v>
      </c>
      <c r="AK271">
        <f t="shared" si="232"/>
        <v>1.0031989786122006</v>
      </c>
      <c r="AL271">
        <f t="shared" si="233"/>
        <v>7.9880835500601169E-2</v>
      </c>
      <c r="AM271" t="str">
        <f t="shared" si="214"/>
        <v>1-0.0103070767721074i</v>
      </c>
      <c r="AN271">
        <f t="shared" si="234"/>
        <v>1.0000531165051116</v>
      </c>
      <c r="AO271">
        <f t="shared" si="235"/>
        <v>-1.030671180174684E-2</v>
      </c>
      <c r="AP271" s="41" t="str">
        <f t="shared" si="236"/>
        <v>5.01249518328915-16.0237517380532i</v>
      </c>
      <c r="AQ271">
        <f t="shared" si="237"/>
        <v>24.500730874818281</v>
      </c>
      <c r="AR271" s="43">
        <f t="shared" si="238"/>
        <v>-72.629452030041193</v>
      </c>
      <c r="AS271" t="str">
        <f t="shared" si="215"/>
        <v>-0.0000166666666666667</v>
      </c>
      <c r="AT271" t="str">
        <f t="shared" si="216"/>
        <v>0.0000723867011914352i</v>
      </c>
      <c r="AU271">
        <f t="shared" si="239"/>
        <v>7.2386701191435205E-5</v>
      </c>
      <c r="AV271">
        <f t="shared" si="240"/>
        <v>1.5707963267948966</v>
      </c>
      <c r="AW271" t="str">
        <f t="shared" si="217"/>
        <v>1+0.0723240829378096i</v>
      </c>
      <c r="AX271">
        <f t="shared" si="241"/>
        <v>1.0026119752789686</v>
      </c>
      <c r="AY271">
        <f t="shared" si="242"/>
        <v>7.219837361729646E-2</v>
      </c>
      <c r="AZ271" t="str">
        <f t="shared" si="218"/>
        <v>1+2.45901881988552i</v>
      </c>
      <c r="BA271">
        <f t="shared" si="243"/>
        <v>2.6545759654888714</v>
      </c>
      <c r="BB271">
        <f t="shared" si="244"/>
        <v>1.1845564119017902</v>
      </c>
      <c r="BC271" s="41" t="str">
        <f t="shared" si="245"/>
        <v>-0.546664742294116+0.269781897005152i</v>
      </c>
      <c r="BD271">
        <f t="shared" si="246"/>
        <v>-4.2989553072826272</v>
      </c>
      <c r="BE271" s="43">
        <f t="shared" si="247"/>
        <v>153.73342090115318</v>
      </c>
      <c r="BF271" s="41" t="str">
        <f t="shared" si="248"/>
        <v>0.598105978995484+2.20742971797474i</v>
      </c>
      <c r="BG271" s="20">
        <f t="shared" si="249"/>
        <v>7.1854127362039311</v>
      </c>
      <c r="BH271" s="43">
        <f t="shared" si="250"/>
        <v>74.8396343824094</v>
      </c>
      <c r="BI271" s="41" t="str">
        <f t="shared" si="255"/>
        <v>1.58276375340833+10.1119005737447i</v>
      </c>
      <c r="BJ271" s="20">
        <f t="shared" si="251"/>
        <v>20.20177556753567</v>
      </c>
      <c r="BK271" s="43">
        <f t="shared" si="256"/>
        <v>81.103968871112031</v>
      </c>
      <c r="BL271">
        <f t="shared" si="252"/>
        <v>7.1854127362039311</v>
      </c>
      <c r="BM271" s="43">
        <f t="shared" si="253"/>
        <v>74.8396343824094</v>
      </c>
    </row>
    <row r="272" spans="14:65" x14ac:dyDescent="0.25">
      <c r="N272" s="9">
        <v>54</v>
      </c>
      <c r="O272" s="34">
        <f t="shared" si="254"/>
        <v>3467.3685045253224</v>
      </c>
      <c r="P272" s="33" t="str">
        <f t="shared" si="206"/>
        <v>19.6196196196196</v>
      </c>
      <c r="Q272" s="4" t="str">
        <f t="shared" si="207"/>
        <v>1+5.27348381164085i</v>
      </c>
      <c r="R272" s="4">
        <f t="shared" si="219"/>
        <v>5.3674604341008516</v>
      </c>
      <c r="S272" s="4">
        <f t="shared" si="220"/>
        <v>1.3833934779184647</v>
      </c>
      <c r="T272" s="4" t="str">
        <f t="shared" si="208"/>
        <v>1+0.0819158068467125i</v>
      </c>
      <c r="U272" s="4">
        <f t="shared" si="221"/>
        <v>1.0033494901634963</v>
      </c>
      <c r="V272" s="4">
        <f t="shared" si="222"/>
        <v>8.1733317210672132E-2</v>
      </c>
      <c r="W272" t="str">
        <f t="shared" si="209"/>
        <v>1-0.0476571349673361i</v>
      </c>
      <c r="X272" s="4">
        <f t="shared" si="223"/>
        <v>1.0011349571927328</v>
      </c>
      <c r="Y272" s="4">
        <f t="shared" si="224"/>
        <v>-4.76211043860163E-2</v>
      </c>
      <c r="Z272" t="str">
        <f t="shared" si="210"/>
        <v>0.999987977355654+0.0319011025903801i</v>
      </c>
      <c r="AA272" s="4">
        <f t="shared" si="225"/>
        <v>1.0004966942485787</v>
      </c>
      <c r="AB272" s="4">
        <f t="shared" si="226"/>
        <v>3.1890670635318065E-2</v>
      </c>
      <c r="AC272" s="47" t="str">
        <f t="shared" si="227"/>
        <v>0.691734318007684-3.6040900624571i</v>
      </c>
      <c r="AD272" s="20">
        <f t="shared" si="228"/>
        <v>11.293018676794372</v>
      </c>
      <c r="AE272" s="43">
        <f t="shared" si="229"/>
        <v>-79.135322699193154</v>
      </c>
      <c r="AF272" t="str">
        <f t="shared" si="211"/>
        <v>72.2956529813786</v>
      </c>
      <c r="AG272" t="str">
        <f t="shared" si="212"/>
        <v>1+4.30057985945241i</v>
      </c>
      <c r="AH272">
        <f t="shared" si="230"/>
        <v>4.4153128006436546</v>
      </c>
      <c r="AI272">
        <f t="shared" si="231"/>
        <v>1.3423294353367501</v>
      </c>
      <c r="AJ272" t="str">
        <f t="shared" si="213"/>
        <v>1+0.0819158068467125i</v>
      </c>
      <c r="AK272">
        <f t="shared" si="232"/>
        <v>1.0033494901634963</v>
      </c>
      <c r="AL272">
        <f t="shared" si="233"/>
        <v>8.1733317210672132E-2</v>
      </c>
      <c r="AM272" t="str">
        <f t="shared" si="214"/>
        <v>1-0.0105471594317972i</v>
      </c>
      <c r="AN272">
        <f t="shared" si="234"/>
        <v>1.0000556197392623</v>
      </c>
      <c r="AO272">
        <f t="shared" si="235"/>
        <v>-1.0546768360184713E-2</v>
      </c>
      <c r="AP272" s="41" t="str">
        <f t="shared" si="236"/>
        <v>4.84984016256199-15.6974819574184i</v>
      </c>
      <c r="AQ272">
        <f t="shared" si="237"/>
        <v>24.312541945783618</v>
      </c>
      <c r="AR272" s="43">
        <f t="shared" si="238"/>
        <v>-72.831122553739917</v>
      </c>
      <c r="AS272" t="str">
        <f t="shared" si="215"/>
        <v>-0.0000166666666666667</v>
      </c>
      <c r="AT272" t="str">
        <f t="shared" si="216"/>
        <v>0.0000740728040635166i</v>
      </c>
      <c r="AU272">
        <f t="shared" si="239"/>
        <v>7.4072804063516606E-5</v>
      </c>
      <c r="AV272">
        <f t="shared" si="240"/>
        <v>1.5707963267948966</v>
      </c>
      <c r="AW272" t="str">
        <f t="shared" si="217"/>
        <v>1+0.0740087272433927i</v>
      </c>
      <c r="AX272">
        <f t="shared" si="241"/>
        <v>1.0027349059986825</v>
      </c>
      <c r="AY272">
        <f t="shared" si="242"/>
        <v>7.3874047113828945E-2</v>
      </c>
      <c r="AZ272" t="str">
        <f t="shared" si="218"/>
        <v>1+2.51629672627535i</v>
      </c>
      <c r="BA272">
        <f t="shared" si="243"/>
        <v>2.7077202984547806</v>
      </c>
      <c r="BB272">
        <f t="shared" si="244"/>
        <v>1.1925252090766723</v>
      </c>
      <c r="BC272" s="41" t="str">
        <f t="shared" si="245"/>
        <v>-0.546530713309013+0.265451900214634i</v>
      </c>
      <c r="BD272">
        <f t="shared" si="246"/>
        <v>-4.3278473691655623</v>
      </c>
      <c r="BE272" s="43">
        <f t="shared" si="247"/>
        <v>154.09399032787638</v>
      </c>
      <c r="BF272" s="41" t="str">
        <f t="shared" si="248"/>
        <v>0.578658505382853+2.15336810182342i</v>
      </c>
      <c r="BG272" s="20">
        <f t="shared" si="249"/>
        <v>6.9651713076288155</v>
      </c>
      <c r="BH272" s="43">
        <f t="shared" si="250"/>
        <v>74.95866762868323</v>
      </c>
      <c r="BI272" s="41" t="str">
        <f t="shared" si="255"/>
        <v>1.51633981070194+9.86655529823257i</v>
      </c>
      <c r="BJ272" s="20">
        <f t="shared" si="251"/>
        <v>19.984694576618054</v>
      </c>
      <c r="BK272" s="43">
        <f t="shared" si="256"/>
        <v>81.262867774136481</v>
      </c>
      <c r="BL272">
        <f t="shared" si="252"/>
        <v>6.9651713076288155</v>
      </c>
      <c r="BM272" s="43">
        <f t="shared" si="253"/>
        <v>74.95866762868323</v>
      </c>
    </row>
    <row r="273" spans="14:65" x14ac:dyDescent="0.25">
      <c r="N273" s="9">
        <v>55</v>
      </c>
      <c r="O273" s="34">
        <f t="shared" si="254"/>
        <v>3548.1338923357539</v>
      </c>
      <c r="P273" s="33" t="str">
        <f t="shared" si="206"/>
        <v>19.6196196196196</v>
      </c>
      <c r="Q273" s="4" t="str">
        <f t="shared" si="207"/>
        <v>1+5.39631902935805i</v>
      </c>
      <c r="R273" s="4">
        <f t="shared" si="219"/>
        <v>5.4881926958345595</v>
      </c>
      <c r="S273" s="4">
        <f t="shared" si="220"/>
        <v>1.3875633809447774</v>
      </c>
      <c r="T273" s="4" t="str">
        <f t="shared" si="208"/>
        <v>1+0.0838238711032643i</v>
      </c>
      <c r="U273" s="4">
        <f t="shared" si="221"/>
        <v>1.0035070709101839</v>
      </c>
      <c r="V273" s="4">
        <f t="shared" si="222"/>
        <v>8.3628366824893649E-2</v>
      </c>
      <c r="W273" t="str">
        <f t="shared" si="209"/>
        <v>1-0.0487672122442529i</v>
      </c>
      <c r="X273" s="4">
        <f t="shared" si="223"/>
        <v>1.0011884143307272</v>
      </c>
      <c r="Y273" s="4">
        <f t="shared" si="224"/>
        <v>-4.8728607255434861E-2</v>
      </c>
      <c r="Z273" t="str">
        <f t="shared" si="210"/>
        <v>0.999987410745882+0.0326441747267652i</v>
      </c>
      <c r="AA273" s="4">
        <f t="shared" si="225"/>
        <v>1.0005200966466616</v>
      </c>
      <c r="AB273" s="4">
        <f t="shared" si="226"/>
        <v>3.2632996999280635E-2</v>
      </c>
      <c r="AC273" s="47" t="str">
        <f t="shared" si="227"/>
        <v>0.662096583188684-3.5282256291126i</v>
      </c>
      <c r="AD273" s="20">
        <f t="shared" si="228"/>
        <v>11.101433351556114</v>
      </c>
      <c r="AE273" s="43">
        <f t="shared" si="229"/>
        <v>-79.371649606609594</v>
      </c>
      <c r="AF273" t="str">
        <f t="shared" si="211"/>
        <v>72.2956529813786</v>
      </c>
      <c r="AG273" t="str">
        <f t="shared" si="212"/>
        <v>1+4.40075323292138i</v>
      </c>
      <c r="AH273">
        <f t="shared" si="230"/>
        <v>4.5129401743284809</v>
      </c>
      <c r="AI273">
        <f t="shared" si="231"/>
        <v>1.3473567153560735</v>
      </c>
      <c r="AJ273" t="str">
        <f t="shared" si="213"/>
        <v>1+0.0838238711032643i</v>
      </c>
      <c r="AK273">
        <f t="shared" si="232"/>
        <v>1.0035070709101839</v>
      </c>
      <c r="AL273">
        <f t="shared" si="233"/>
        <v>8.3628366824893649E-2</v>
      </c>
      <c r="AM273" t="str">
        <f t="shared" si="214"/>
        <v>1-0.0107928343350259i</v>
      </c>
      <c r="AN273">
        <f t="shared" si="234"/>
        <v>1.0000582409404881</v>
      </c>
      <c r="AO273">
        <f t="shared" si="235"/>
        <v>-1.0792415295561407E-2</v>
      </c>
      <c r="AP273" s="41" t="str">
        <f t="shared" si="236"/>
        <v>4.6937699936794-15.3762969832071i</v>
      </c>
      <c r="AQ273">
        <f t="shared" si="237"/>
        <v>24.123966765283381</v>
      </c>
      <c r="AR273" s="43">
        <f t="shared" si="238"/>
        <v>-73.024660669062214</v>
      </c>
      <c r="AS273" t="str">
        <f t="shared" si="215"/>
        <v>-0.0000166666666666667</v>
      </c>
      <c r="AT273" t="str">
        <f t="shared" si="216"/>
        <v>0.0000757981813167817i</v>
      </c>
      <c r="AU273">
        <f t="shared" si="239"/>
        <v>7.5798181316781706E-5</v>
      </c>
      <c r="AV273">
        <f t="shared" si="240"/>
        <v>1.5707963267948966</v>
      </c>
      <c r="AW273" t="str">
        <f t="shared" si="217"/>
        <v>1+0.0757326119557811i</v>
      </c>
      <c r="AX273">
        <f t="shared" si="241"/>
        <v>1.0028636141139258</v>
      </c>
      <c r="AY273">
        <f t="shared" si="242"/>
        <v>7.5588321843295211E-2</v>
      </c>
      <c r="AZ273" t="str">
        <f t="shared" si="218"/>
        <v>1+2.57490880649655i</v>
      </c>
      <c r="BA273">
        <f t="shared" si="243"/>
        <v>2.7622735856126721</v>
      </c>
      <c r="BB273">
        <f t="shared" si="244"/>
        <v>1.2003616901541043</v>
      </c>
      <c r="BC273" s="41" t="str">
        <f t="shared" si="245"/>
        <v>-0.546390438154711+0.261261719654887i</v>
      </c>
      <c r="BD273">
        <f t="shared" si="246"/>
        <v>-4.3557043967662787</v>
      </c>
      <c r="BE273" s="43">
        <f t="shared" si="247"/>
        <v>154.444766912923</v>
      </c>
      <c r="BF273" s="41" t="str">
        <f t="shared" si="248"/>
        <v>0.560027053003201+2.10076923930102i</v>
      </c>
      <c r="BG273" s="20">
        <f t="shared" si="249"/>
        <v>6.7457289547898558</v>
      </c>
      <c r="BH273" s="43">
        <f t="shared" si="250"/>
        <v>75.073117306313478</v>
      </c>
      <c r="BI273" s="41" t="str">
        <f t="shared" si="255"/>
        <v>1.45260674831302+9.62776406606467i</v>
      </c>
      <c r="BJ273" s="20">
        <f t="shared" si="251"/>
        <v>19.7682623685171</v>
      </c>
      <c r="BK273" s="43">
        <f t="shared" si="256"/>
        <v>81.420106243860786</v>
      </c>
      <c r="BL273">
        <f t="shared" si="252"/>
        <v>6.7457289547898558</v>
      </c>
      <c r="BM273" s="43">
        <f t="shared" si="253"/>
        <v>75.073117306313478</v>
      </c>
    </row>
    <row r="274" spans="14:65" x14ac:dyDescent="0.25">
      <c r="N274" s="9">
        <v>56</v>
      </c>
      <c r="O274" s="34">
        <f t="shared" si="254"/>
        <v>3630.7805477010188</v>
      </c>
      <c r="P274" s="33" t="str">
        <f t="shared" si="206"/>
        <v>19.6196196196196</v>
      </c>
      <c r="Q274" s="4" t="str">
        <f t="shared" si="207"/>
        <v>1+5.52201544685339i</v>
      </c>
      <c r="R274" s="4">
        <f t="shared" si="219"/>
        <v>5.6118316613461818</v>
      </c>
      <c r="S274" s="4">
        <f t="shared" si="220"/>
        <v>1.3916446020053856</v>
      </c>
      <c r="T274" s="4" t="str">
        <f t="shared" si="208"/>
        <v>1+0.0857763798858159i</v>
      </c>
      <c r="U274" s="4">
        <f t="shared" si="221"/>
        <v>1.003672051691346</v>
      </c>
      <c r="V274" s="4">
        <f t="shared" si="222"/>
        <v>8.5566934649141363E-2</v>
      </c>
      <c r="W274" t="str">
        <f t="shared" si="209"/>
        <v>1-0.0499031465426124i</v>
      </c>
      <c r="X274" s="4">
        <f t="shared" si="223"/>
        <v>1.0012443877669694</v>
      </c>
      <c r="Y274" s="4">
        <f t="shared" si="224"/>
        <v>-4.9861783327979192E-2</v>
      </c>
      <c r="Z274" t="str">
        <f t="shared" si="210"/>
        <v>0.999986817432614+0.0334045552366874i</v>
      </c>
      <c r="AA274" s="4">
        <f t="shared" si="225"/>
        <v>1.0005446013794532</v>
      </c>
      <c r="AB274" s="4">
        <f t="shared" si="226"/>
        <v>3.3392578437914704E-2</v>
      </c>
      <c r="AC274" s="47" t="str">
        <f t="shared" si="227"/>
        <v>0.633704060258888-3.45375339238097i</v>
      </c>
      <c r="AD274" s="20">
        <f t="shared" si="228"/>
        <v>10.909628417093348</v>
      </c>
      <c r="AE274" s="43">
        <f t="shared" si="229"/>
        <v>-79.602861611045299</v>
      </c>
      <c r="AF274" t="str">
        <f t="shared" si="211"/>
        <v>72.2956529813786</v>
      </c>
      <c r="AG274" t="str">
        <f t="shared" si="212"/>
        <v>1+4.50325994400534i</v>
      </c>
      <c r="AH274">
        <f t="shared" si="230"/>
        <v>4.6129545980079811</v>
      </c>
      <c r="AI274">
        <f t="shared" si="231"/>
        <v>1.3522806842178519</v>
      </c>
      <c r="AJ274" t="str">
        <f t="shared" si="213"/>
        <v>1+0.0857763798858159i</v>
      </c>
      <c r="AK274">
        <f t="shared" si="232"/>
        <v>1.003672051691346</v>
      </c>
      <c r="AL274">
        <f t="shared" si="233"/>
        <v>8.5566934649141363E-2</v>
      </c>
      <c r="AM274" t="str">
        <f t="shared" si="214"/>
        <v>1-0.0110442317418792i</v>
      </c>
      <c r="AN274">
        <f t="shared" si="234"/>
        <v>1.0000609856677583</v>
      </c>
      <c r="AO274">
        <f t="shared" si="235"/>
        <v>-1.1043782734482166E-2</v>
      </c>
      <c r="AP274" s="41" t="str">
        <f t="shared" si="236"/>
        <v>4.5440483822458-15.0602216146228i</v>
      </c>
      <c r="AQ274">
        <f t="shared" si="237"/>
        <v>23.935026406935677</v>
      </c>
      <c r="AR274" s="43">
        <f t="shared" si="238"/>
        <v>-73.210113842023929</v>
      </c>
      <c r="AS274" t="str">
        <f t="shared" si="215"/>
        <v>-0.0000166666666666667</v>
      </c>
      <c r="AT274" t="str">
        <f t="shared" si="216"/>
        <v>0.0000775637477690889i</v>
      </c>
      <c r="AU274">
        <f t="shared" si="239"/>
        <v>7.7563747769088893E-5</v>
      </c>
      <c r="AV274">
        <f t="shared" si="240"/>
        <v>1.5707963267948966</v>
      </c>
      <c r="AW274" t="str">
        <f t="shared" si="217"/>
        <v>1+0.0774966511014687i</v>
      </c>
      <c r="AX274">
        <f t="shared" si="241"/>
        <v>1.0029983703535827</v>
      </c>
      <c r="AY274">
        <f t="shared" si="242"/>
        <v>7.7342066411855676E-2</v>
      </c>
      <c r="AZ274" t="str">
        <f t="shared" si="218"/>
        <v>1+2.63488613744993i</v>
      </c>
      <c r="BA274">
        <f t="shared" si="243"/>
        <v>2.8182663034791107</v>
      </c>
      <c r="BB274">
        <f t="shared" si="244"/>
        <v>1.208066159177382</v>
      </c>
      <c r="BC274" s="41" t="str">
        <f t="shared" si="245"/>
        <v>-0.546243629193066+0.257209067899862i</v>
      </c>
      <c r="BD274">
        <f t="shared" si="246"/>
        <v>-4.3825647025890015</v>
      </c>
      <c r="BE274" s="43">
        <f t="shared" si="247"/>
        <v>154.78571830922368</v>
      </c>
      <c r="BF274" s="41" t="str">
        <f t="shared" si="248"/>
        <v>0.542179885100099+2.04958521805559i</v>
      </c>
      <c r="BG274" s="20">
        <f t="shared" si="249"/>
        <v>6.5270637145043402</v>
      </c>
      <c r="BH274" s="43">
        <f t="shared" si="250"/>
        <v>75.182856698178398</v>
      </c>
      <c r="BI274" s="41" t="str">
        <f t="shared" si="255"/>
        <v>1.39146808431566+9.39532056011273i</v>
      </c>
      <c r="BJ274" s="20">
        <f t="shared" si="251"/>
        <v>19.552461704346669</v>
      </c>
      <c r="BK274" s="43">
        <f t="shared" si="256"/>
        <v>81.575604467199739</v>
      </c>
      <c r="BL274">
        <f t="shared" si="252"/>
        <v>6.5270637145043402</v>
      </c>
      <c r="BM274" s="43">
        <f t="shared" si="253"/>
        <v>75.182856698178398</v>
      </c>
    </row>
    <row r="275" spans="14:65" x14ac:dyDescent="0.25">
      <c r="N275" s="9">
        <v>57</v>
      </c>
      <c r="O275" s="34">
        <f t="shared" si="254"/>
        <v>3715.352290971724</v>
      </c>
      <c r="P275" s="33" t="str">
        <f t="shared" ref="P275:P338" si="257">COMPLEX(Adc,0)</f>
        <v>19.6196196196196</v>
      </c>
      <c r="Q275" s="4" t="str">
        <f t="shared" ref="Q275:Q338" si="258">IMSUM(COMPLEX(1,0),IMDIV(COMPLEX(0,2*PI()*O275),COMPLEX(wp_lf,0)))</f>
        <v>1+5.65063971003115i</v>
      </c>
      <c r="R275" s="4">
        <f t="shared" si="219"/>
        <v>5.7384430930855217</v>
      </c>
      <c r="S275" s="4">
        <f t="shared" si="220"/>
        <v>1.3956387609241427</v>
      </c>
      <c r="T275" s="4" t="str">
        <f t="shared" ref="T275:T338" si="259">IMSUM(COMPLEX(1,0),IMDIV(COMPLEX(0,2*PI()*O275),COMPLEX(wz_esr,0)))</f>
        <v>1+0.0877743684403672i</v>
      </c>
      <c r="U275" s="4">
        <f t="shared" si="221"/>
        <v>1.0038447787158657</v>
      </c>
      <c r="V275" s="4">
        <f t="shared" si="222"/>
        <v>8.75499902235434E-2</v>
      </c>
      <c r="W275" t="str">
        <f t="shared" ref="W275:W338" si="260">IMSUB(COMPLEX(1,0),IMDIV(COMPLEX(0,2*PI()*O275),COMPLEX(wz_rhp,0)))</f>
        <v>1-0.0510655401498148i</v>
      </c>
      <c r="X275" s="4">
        <f t="shared" si="223"/>
        <v>1.0013029957963735</v>
      </c>
      <c r="Y275" s="4">
        <f t="shared" si="224"/>
        <v>-5.1021221781206341E-2</v>
      </c>
      <c r="Z275" t="str">
        <f t="shared" ref="Z275:Z338" si="261">IMSUM(COMPLEX(1,0),IMDIV(COMPLEX(0,2*PI()*O275),COMPLEX(Q*(wsl/2),0)),IMDIV(IMPOWER(COMPLEX(0,2*PI()*O275),2),IMPOWER(COMPLEX(wsl/2,0),2)))</f>
        <v>0.999986196157354+0.0341826472839576i</v>
      </c>
      <c r="AA275" s="4">
        <f t="shared" si="225"/>
        <v>1.000570260341868</v>
      </c>
      <c r="AB275" s="4">
        <f t="shared" si="226"/>
        <v>3.4169814307797496E-2</v>
      </c>
      <c r="AC275" s="47" t="str">
        <f t="shared" si="227"/>
        <v>0.606507876754224-3.38066378663478i</v>
      </c>
      <c r="AD275" s="20">
        <f t="shared" si="228"/>
        <v>10.717619871652193</v>
      </c>
      <c r="AE275" s="43">
        <f t="shared" si="229"/>
        <v>-79.829052609847025</v>
      </c>
      <c r="AF275" t="str">
        <f t="shared" ref="AF275:AF338" si="262">COMPLEX($B$72,0)</f>
        <v>72.2956529813786</v>
      </c>
      <c r="AG275" t="str">
        <f t="shared" ref="AG275:AG338" si="263">IMSUM(COMPLEX(1,0),IMDIV(COMPLEX(0,2*PI()*O275),COMPLEX(wp_lf_DCM,0)))</f>
        <v>1+4.60815434311928i</v>
      </c>
      <c r="AH275">
        <f t="shared" si="230"/>
        <v>4.7154094679051033</v>
      </c>
      <c r="AI275">
        <f t="shared" si="231"/>
        <v>1.3571029971712436</v>
      </c>
      <c r="AJ275" t="str">
        <f t="shared" ref="AJ275:AJ338" si="264">IMSUM(COMPLEX(1,0),IMDIV(COMPLEX(0,2*PI()*O275),COMPLEX(wz1_dcm,0)))</f>
        <v>1+0.0877743684403672i</v>
      </c>
      <c r="AK275">
        <f t="shared" si="232"/>
        <v>1.0038447787158657</v>
      </c>
      <c r="AL275">
        <f t="shared" si="233"/>
        <v>8.75499902235434E-2</v>
      </c>
      <c r="AM275" t="str">
        <f t="shared" ref="AM275:AM338" si="265">IMSUB(COMPLEX(1,0),IMDIV(COMPLEX(0,2*PI()*O275),COMPLEX(wz2_dcm,0)))</f>
        <v>1-0.0113014849465896i</v>
      </c>
      <c r="AN275">
        <f t="shared" si="234"/>
        <v>1.0000638597419658</v>
      </c>
      <c r="AO275">
        <f t="shared" si="235"/>
        <v>-1.1301003828154743E-2</v>
      </c>
      <c r="AP275" s="41" t="str">
        <f t="shared" si="236"/>
        <v>4.40044494899383-14.7492724558117i</v>
      </c>
      <c r="AQ275">
        <f t="shared" si="237"/>
        <v>23.745741419928876</v>
      </c>
      <c r="AR275" s="43">
        <f t="shared" si="238"/>
        <v>-73.38752898986057</v>
      </c>
      <c r="AS275" t="str">
        <f t="shared" ref="AS275:AS338" si="266">COMPLEX(Adc_ea,0)</f>
        <v>-0.0000166666666666667</v>
      </c>
      <c r="AT275" t="str">
        <f t="shared" ref="AT275:AT338" si="267">COMPLEX(0,2*PI()*O275*wp0_ea)</f>
        <v>0.0000793704395471405i</v>
      </c>
      <c r="AU275">
        <f t="shared" si="239"/>
        <v>7.93704395471405E-5</v>
      </c>
      <c r="AV275">
        <f t="shared" si="240"/>
        <v>1.5707963267948966</v>
      </c>
      <c r="AW275" t="str">
        <f t="shared" ref="AW275:AW338" si="268">IMSUM(COMPLEX(1,0),IMDIV(COMPLEX(0,2*PI()*O275),COMPLEX(wp1_ea,0)))</f>
        <v>1+0.0793017799973595i</v>
      </c>
      <c r="AX275">
        <f t="shared" si="241"/>
        <v>1.0031394580569293</v>
      </c>
      <c r="AY275">
        <f t="shared" si="242"/>
        <v>7.9136167503152069E-2</v>
      </c>
      <c r="AZ275" t="str">
        <f t="shared" ref="AZ275:AZ338" si="269">IMSUM(COMPLEX(1,0),IMDIV(COMPLEX(0,2*PI()*O275),COMPLEX(wz_ea,0)))</f>
        <v>1+2.69626051991022i</v>
      </c>
      <c r="BA275">
        <f t="shared" si="243"/>
        <v>2.8757296102426819</v>
      </c>
      <c r="BB275">
        <f t="shared" si="244"/>
        <v>1.2156390415156464</v>
      </c>
      <c r="BC275" s="41" t="str">
        <f t="shared" si="245"/>
        <v>-0.546089985870966+0.253291725834401i</v>
      </c>
      <c r="BD275">
        <f t="shared" si="246"/>
        <v>-4.4084660023376587</v>
      </c>
      <c r="BE275" s="43">
        <f t="shared" si="247"/>
        <v>155.11681808540422</v>
      </c>
      <c r="BF275" s="41" t="str">
        <f t="shared" si="248"/>
        <v>0.525086287135241+1.99977006631311i</v>
      </c>
      <c r="BG275" s="20">
        <f t="shared" si="249"/>
        <v>6.3091538693145388</v>
      </c>
      <c r="BH275" s="43">
        <f t="shared" si="250"/>
        <v>75.287765475557208</v>
      </c>
      <c r="BI275" s="41" t="str">
        <f t="shared" si="255"/>
        <v>1.33282975511234+9.16902628257116i</v>
      </c>
      <c r="BJ275" s="20">
        <f t="shared" si="251"/>
        <v>19.337275417591218</v>
      </c>
      <c r="BK275" s="43">
        <f t="shared" si="256"/>
        <v>81.729289095543635</v>
      </c>
      <c r="BL275">
        <f t="shared" si="252"/>
        <v>6.3091538693145388</v>
      </c>
      <c r="BM275" s="43">
        <f t="shared" si="253"/>
        <v>75.287765475557208</v>
      </c>
    </row>
    <row r="276" spans="14:65" x14ac:dyDescent="0.25">
      <c r="N276" s="9">
        <v>58</v>
      </c>
      <c r="O276" s="34">
        <f t="shared" si="254"/>
        <v>3801.8939632056172</v>
      </c>
      <c r="P276" s="33" t="str">
        <f t="shared" si="257"/>
        <v>19.6196196196196</v>
      </c>
      <c r="Q276" s="4" t="str">
        <f t="shared" si="258"/>
        <v>1+5.78226001717823i</v>
      </c>
      <c r="R276" s="4">
        <f t="shared" ref="R276:R339" si="270">IMABS(Q276)</f>
        <v>5.8680943164078396</v>
      </c>
      <c r="S276" s="4">
        <f t="shared" ref="S276:S339" si="271">IMARGUMENT(Q276)</f>
        <v>1.3995474654445159</v>
      </c>
      <c r="T276" s="4" t="str">
        <f t="shared" si="259"/>
        <v>1+0.0898188961268967i</v>
      </c>
      <c r="U276" s="4">
        <f t="shared" ref="U276:U339" si="272">IMABS(T276)</f>
        <v>1.0040256142656192</v>
      </c>
      <c r="V276" s="4">
        <f t="shared" ref="V276:V339" si="273">IMARGUMENT(T276)</f>
        <v>8.9578522568723118E-2</v>
      </c>
      <c r="W276" t="str">
        <f t="shared" si="260"/>
        <v>1-0.0522550093823369i</v>
      </c>
      <c r="X276" s="4">
        <f t="shared" ref="X276:X339" si="274">IMABS(W276)</f>
        <v>1.001364362260585</v>
      </c>
      <c r="Y276" s="4">
        <f t="shared" ref="Y276:Y339" si="275">IMARGUMENT(W276)</f>
        <v>-5.2207524888609774E-2</v>
      </c>
      <c r="Z276" t="str">
        <f t="shared" si="261"/>
        <v>0.999985545602293+0.0349788634232786i</v>
      </c>
      <c r="AA276" s="4">
        <f t="shared" ref="AA276:AA339" si="276">IMABS(Z276)</f>
        <v>1.0005971278691042</v>
      </c>
      <c r="AB276" s="4">
        <f t="shared" ref="AB276:AB339" si="277">IMARGUMENT(Z276)</f>
        <v>3.4965113084675897E-2</v>
      </c>
      <c r="AC276" s="47" t="str">
        <f t="shared" ref="AC276:AC339" si="278">(IMDIV(IMPRODUCT(P276,T276,W276),IMPRODUCT(Q276,Z276)))</f>
        <v>0.580460759833564-3.30894618954728i</v>
      </c>
      <c r="AD276" s="20">
        <f t="shared" ref="AD276:AD339" si="279">20*LOG(IMABS(AC276))</f>
        <v>10.525423385774692</v>
      </c>
      <c r="AE276" s="43">
        <f t="shared" ref="AE276:AE339" si="280">(180/PI())*IMARGUMENT(AC276)</f>
        <v>-80.050315964888071</v>
      </c>
      <c r="AF276" t="str">
        <f t="shared" si="262"/>
        <v>72.2956529813786</v>
      </c>
      <c r="AG276" t="str">
        <f t="shared" si="263"/>
        <v>1+4.71549204666208i</v>
      </c>
      <c r="AH276">
        <f t="shared" ref="AH276:AH339" si="281">IMABS(AG276)</f>
        <v>4.8203594515485388</v>
      </c>
      <c r="AI276">
        <f t="shared" ref="AI276:AI339" si="282">IMARGUMENT(AG276)</f>
        <v>1.3618253135277876</v>
      </c>
      <c r="AJ276" t="str">
        <f t="shared" si="264"/>
        <v>1+0.0898188961268967i</v>
      </c>
      <c r="AK276">
        <f t="shared" ref="AK276:AK339" si="283">IMABS(AJ276)</f>
        <v>1.0040256142656192</v>
      </c>
      <c r="AL276">
        <f t="shared" ref="AL276:AL339" si="284">IMARGUMENT(AJ276)</f>
        <v>8.9578522568723118E-2</v>
      </c>
      <c r="AM276" t="str">
        <f t="shared" si="265"/>
        <v>1-0.0115647303482116i</v>
      </c>
      <c r="AN276">
        <f t="shared" ref="AN276:AN339" si="285">IMABS(AM276)</f>
        <v>1.0000668692582646</v>
      </c>
      <c r="AO276">
        <f t="shared" ref="AO276:AO339" si="286">IMARGUMENT(AM276)</f>
        <v>-1.1564214822382249E-2</v>
      </c>
      <c r="AP276" s="41" t="str">
        <f t="shared" ref="AP276:AP339" si="287">(IMDIV(IMPRODUCT(AF276,AJ276,AM276),IMPRODUCT(AG276)))</f>
        <v>4.26273531172249-14.4434584459699i</v>
      </c>
      <c r="AQ276">
        <f t="shared" ref="AQ276:AQ339" si="288">20*LOG(IMABS(AP276))</f>
        <v>23.55613185164275</v>
      </c>
      <c r="AR276" s="43">
        <f t="shared" ref="AR276:AR339" si="289">(180/PI())*IMARGUMENT(AP276)</f>
        <v>-73.556952323722214</v>
      </c>
      <c r="AS276" t="str">
        <f t="shared" si="266"/>
        <v>-0.0000166666666666667</v>
      </c>
      <c r="AT276" t="str">
        <f t="shared" si="267"/>
        <v>0.0000812192145828322i</v>
      </c>
      <c r="AU276">
        <f t="shared" ref="AU276:AU339" si="290">IMABS(AT276)</f>
        <v>8.1219214582832198E-5</v>
      </c>
      <c r="AV276">
        <f t="shared" ref="AV276:AV339" si="291">IMARGUMENT(AT276)</f>
        <v>1.5707963267948966</v>
      </c>
      <c r="AW276" t="str">
        <f t="shared" si="268"/>
        <v>1+0.081148955746688i</v>
      </c>
      <c r="AX276">
        <f t="shared" ref="AX276:AX339" si="292">IMABS(AW276)</f>
        <v>1.0032871737537452</v>
      </c>
      <c r="AY276">
        <f t="shared" ref="AY276:AY339" si="293">IMARGUMENT(AW276)</f>
        <v>8.0971530148731319E-2</v>
      </c>
      <c r="AZ276" t="str">
        <f t="shared" si="269"/>
        <v>1+2.75906449538739i</v>
      </c>
      <c r="BA276">
        <f t="shared" ref="BA276:BA339" si="294">IMABS(AZ276)</f>
        <v>2.9346953657419497</v>
      </c>
      <c r="BB276">
        <f t="shared" ref="BB276:BB339" si="295">IMARGUMENT(AZ276)</f>
        <v>1.2230808770618009</v>
      </c>
      <c r="BC276" s="41" t="str">
        <f t="shared" ref="BC276:BC339" si="296">IMPRODUCT(AS276,IMDIV(AZ276,IMPRODUCT(AT276,AW276)))</f>
        <v>-0.545929194172246+0.249507541159171i</v>
      </c>
      <c r="BD276">
        <f t="shared" ref="BD276:BD339" si="297">20*LOG(IMABS(BC276))</f>
        <v>-4.4334453939708665</v>
      </c>
      <c r="BE276" s="43">
        <f t="shared" ref="BE276:BE339" si="298">(180/PI())*IMARGUMENT(BC276)</f>
        <v>155.43804532056171</v>
      </c>
      <c r="BF276" s="41" t="str">
        <f t="shared" ref="BF276:BF339" si="299">IMPRODUCT(AC276,BC276)</f>
        <v>0.508716552717403+1.95127966374433i</v>
      </c>
      <c r="BG276" s="20">
        <f t="shared" ref="BG276:BG339" si="300">20*LOG(IMABS(BF276))</f>
        <v>6.0919779918038417</v>
      </c>
      <c r="BH276" s="43">
        <f t="shared" ref="BH276:BH339" si="301">(180/PI())*IMARGUMENT(BF276)</f>
        <v>75.387729355673642</v>
      </c>
      <c r="BI276" s="41" t="str">
        <f t="shared" si="255"/>
        <v>1.27660014899037+8.94869023670892i</v>
      </c>
      <c r="BJ276" s="20">
        <f t="shared" ref="BJ276:BJ339" si="302">20*LOG(IMABS(BI276))</f>
        <v>19.122686457671886</v>
      </c>
      <c r="BK276" s="43">
        <f t="shared" si="256"/>
        <v>81.881092996839513</v>
      </c>
      <c r="BL276">
        <f t="shared" ref="BL276:BL339" si="303">IF($B$31=0,BJ276,BG276)</f>
        <v>6.0919779918038417</v>
      </c>
      <c r="BM276" s="43">
        <f t="shared" ref="BM276:BM339" si="304">IF($B$31=0,BK276,BH276)</f>
        <v>75.387729355673642</v>
      </c>
    </row>
    <row r="277" spans="14:65" x14ac:dyDescent="0.25">
      <c r="N277" s="9">
        <v>59</v>
      </c>
      <c r="O277" s="34">
        <f t="shared" si="254"/>
        <v>3890.451449942811</v>
      </c>
      <c r="P277" s="33" t="str">
        <f t="shared" si="257"/>
        <v>19.6196196196196</v>
      </c>
      <c r="Q277" s="4" t="str">
        <f t="shared" si="258"/>
        <v>1+5.91694615512368i</v>
      </c>
      <c r="R277" s="4">
        <f t="shared" si="270"/>
        <v>6.0008542560732892</v>
      </c>
      <c r="S277" s="4">
        <f t="shared" si="271"/>
        <v>1.4033723100388493</v>
      </c>
      <c r="T277" s="4" t="str">
        <f t="shared" si="259"/>
        <v>1+0.0919110469810464i</v>
      </c>
      <c r="U277" s="4">
        <f t="shared" si="272"/>
        <v>1.0042149374298075</v>
      </c>
      <c r="V277" s="4">
        <f t="shared" si="273"/>
        <v>9.1653540424024169E-2</v>
      </c>
      <c r="W277" t="str">
        <f t="shared" si="260"/>
        <v>1-0.0534721849125105i</v>
      </c>
      <c r="X277" s="4">
        <f t="shared" si="274"/>
        <v>1.0014286168066686</v>
      </c>
      <c r="Y277" s="4">
        <f t="shared" si="275"/>
        <v>-5.3421308280202973E-2</v>
      </c>
      <c r="Z277" t="str">
        <f t="shared" si="261"/>
        <v>0.999984864387516+0.0357936258189866i</v>
      </c>
      <c r="AA277" s="4">
        <f t="shared" si="276"/>
        <v>1.0006252608511284</v>
      </c>
      <c r="AB277" s="4">
        <f t="shared" si="277"/>
        <v>3.5778892562843695E-2</v>
      </c>
      <c r="AC277" s="47" t="str">
        <f t="shared" si="278"/>
        <v>0.555517011077852-3.23858901476028i</v>
      </c>
      <c r="AD277" s="20">
        <f t="shared" si="279"/>
        <v>10.33305432571683</v>
      </c>
      <c r="AE277" s="43">
        <f t="shared" si="280"/>
        <v>-80.266744447048495</v>
      </c>
      <c r="AF277" t="str">
        <f t="shared" si="262"/>
        <v>72.2956529813786</v>
      </c>
      <c r="AG277" t="str">
        <f t="shared" si="263"/>
        <v>1+4.82532996650494i</v>
      </c>
      <c r="AH277">
        <f t="shared" si="281"/>
        <v>4.9278605180798865</v>
      </c>
      <c r="AI277">
        <f t="shared" si="282"/>
        <v>1.3664492942606301</v>
      </c>
      <c r="AJ277" t="str">
        <f t="shared" si="264"/>
        <v>1+0.0919110469810464i</v>
      </c>
      <c r="AK277">
        <f t="shared" si="283"/>
        <v>1.0042149374298075</v>
      </c>
      <c r="AL277">
        <f t="shared" si="284"/>
        <v>9.1653540424024169E-2</v>
      </c>
      <c r="AM277" t="str">
        <f t="shared" si="265"/>
        <v>1-0.0118341075229415i</v>
      </c>
      <c r="AN277">
        <f t="shared" si="285"/>
        <v>1.0000700205989901</v>
      </c>
      <c r="AO277">
        <f t="shared" si="286"/>
        <v>-1.183355512915185E-2</v>
      </c>
      <c r="AP277" s="41" t="str">
        <f t="shared" si="287"/>
        <v>4.13070114065313-14.1427813697957i</v>
      </c>
      <c r="AQ277">
        <f t="shared" si="288"/>
        <v>23.366217270704205</v>
      </c>
      <c r="AR277" s="43">
        <f t="shared" si="289"/>
        <v>-73.718429201571567</v>
      </c>
      <c r="AS277" t="str">
        <f t="shared" si="266"/>
        <v>-0.0000166666666666667</v>
      </c>
      <c r="AT277" t="str">
        <f t="shared" si="267"/>
        <v>0.000083111053121159i</v>
      </c>
      <c r="AU277">
        <f t="shared" si="290"/>
        <v>8.3111053121158999E-5</v>
      </c>
      <c r="AV277">
        <f t="shared" si="291"/>
        <v>1.5707963267948966</v>
      </c>
      <c r="AW277" t="str">
        <f t="shared" si="268"/>
        <v>1+0.0830391577464869i</v>
      </c>
      <c r="AX277">
        <f t="shared" si="292"/>
        <v>1.0034418277704225</v>
      </c>
      <c r="AY277">
        <f t="shared" si="293"/>
        <v>8.2849077994405565E-2</v>
      </c>
      <c r="AZ277" t="str">
        <f t="shared" si="269"/>
        <v>1+2.82333136338055i</v>
      </c>
      <c r="BA277">
        <f t="shared" si="294"/>
        <v>2.9951961517483752</v>
      </c>
      <c r="BB277">
        <f t="shared" si="295"/>
        <v>1.23039231350955</v>
      </c>
      <c r="BC277" s="41" t="str">
        <f t="shared" si="296"/>
        <v>-0.545760926049418+0.245854426909609i</v>
      </c>
      <c r="BD277">
        <f t="shared" si="297"/>
        <v>-4.4575393408249493</v>
      </c>
      <c r="BE277" s="43">
        <f t="shared" si="298"/>
        <v>155.74938420380485</v>
      </c>
      <c r="BF277" s="41" t="str">
        <f t="shared" si="299"/>
        <v>0.49304196781759+1.90407165618613i</v>
      </c>
      <c r="BG277" s="20">
        <f t="shared" si="300"/>
        <v>5.8755149848918968</v>
      </c>
      <c r="BH277" s="43">
        <f t="shared" si="301"/>
        <v>75.482639756756399</v>
      </c>
      <c r="BI277" s="41" t="str">
        <f t="shared" si="255"/>
        <v>1.22269012882278+8.7341286189643i</v>
      </c>
      <c r="BJ277" s="20">
        <f t="shared" si="302"/>
        <v>18.908677929879254</v>
      </c>
      <c r="BK277" s="43">
        <f t="shared" si="256"/>
        <v>82.03095500223327</v>
      </c>
      <c r="BL277">
        <f t="shared" si="303"/>
        <v>5.8755149848918968</v>
      </c>
      <c r="BM277" s="43">
        <f t="shared" si="304"/>
        <v>75.482639756756399</v>
      </c>
    </row>
    <row r="278" spans="14:65" x14ac:dyDescent="0.25">
      <c r="N278" s="9">
        <v>60</v>
      </c>
      <c r="O278" s="34">
        <f t="shared" si="254"/>
        <v>3981.0717055349769</v>
      </c>
      <c r="P278" s="33" t="str">
        <f t="shared" si="257"/>
        <v>19.6196196196196</v>
      </c>
      <c r="Q278" s="4" t="str">
        <f t="shared" si="258"/>
        <v>1+6.0547695362406i</v>
      </c>
      <c r="R278" s="4">
        <f t="shared" si="270"/>
        <v>6.1367934735484786</v>
      </c>
      <c r="S278" s="4">
        <f t="shared" si="271"/>
        <v>1.4071148748234155</v>
      </c>
      <c r="T278" s="4" t="str">
        <f t="shared" si="259"/>
        <v>1+0.0940519302888917i</v>
      </c>
      <c r="U278" s="4">
        <f t="shared" si="272"/>
        <v>1.004413144871704</v>
      </c>
      <c r="V278" s="4">
        <f t="shared" si="273"/>
        <v>9.3776072476636524E-2</v>
      </c>
      <c r="W278" t="str">
        <f t="shared" si="260"/>
        <v>1-0.0547177121029125i</v>
      </c>
      <c r="X278" s="4">
        <f t="shared" si="274"/>
        <v>1.0014958951577271</v>
      </c>
      <c r="Y278" s="4">
        <f t="shared" si="275"/>
        <v>-5.4663201206046369E-2</v>
      </c>
      <c r="Z278" t="str">
        <f t="shared" si="261"/>
        <v>0.999984151068075+0.0366273664688883i</v>
      </c>
      <c r="AA278" s="4">
        <f t="shared" si="276"/>
        <v>1.0006547188525046</v>
      </c>
      <c r="AB278" s="4">
        <f t="shared" si="277"/>
        <v>3.6611580058237989E-2</v>
      </c>
      <c r="AC278" s="47" t="str">
        <f t="shared" si="278"/>
        <v>0.531632478925824-3.16957979956045i</v>
      </c>
      <c r="AD278" s="20">
        <f t="shared" si="279"/>
        <v>10.140527776896516</v>
      </c>
      <c r="AE278" s="43">
        <f t="shared" si="280"/>
        <v>-80.478430187659896</v>
      </c>
      <c r="AF278" t="str">
        <f t="shared" si="262"/>
        <v>72.2956529813786</v>
      </c>
      <c r="AG278" t="str">
        <f t="shared" si="263"/>
        <v>1+4.93772634016682i</v>
      </c>
      <c r="AH278">
        <f t="shared" si="281"/>
        <v>5.0379699691817548</v>
      </c>
      <c r="AI278">
        <f t="shared" si="282"/>
        <v>1.3709765997658199</v>
      </c>
      <c r="AJ278" t="str">
        <f t="shared" si="264"/>
        <v>1+0.0940519302888917i</v>
      </c>
      <c r="AK278">
        <f t="shared" si="283"/>
        <v>1.004413144871704</v>
      </c>
      <c r="AL278">
        <f t="shared" si="284"/>
        <v>9.3776072476636524E-2</v>
      </c>
      <c r="AM278" t="str">
        <f t="shared" si="265"/>
        <v>1-0.012109759298123i</v>
      </c>
      <c r="AN278">
        <f t="shared" si="285"/>
        <v>1.0000733204471852</v>
      </c>
      <c r="AO278">
        <f t="shared" si="286"/>
        <v>-1.2109167399856999E-2</v>
      </c>
      <c r="AP278" s="41" t="str">
        <f t="shared" si="287"/>
        <v>4.00413018955716-13.8472363479442i</v>
      </c>
      <c r="AQ278">
        <f t="shared" si="288"/>
        <v>23.176016790414348</v>
      </c>
      <c r="AR278" s="43">
        <f t="shared" si="289"/>
        <v>-73.87200399098279</v>
      </c>
      <c r="AS278" t="str">
        <f t="shared" si="266"/>
        <v>-0.0000166666666666667</v>
      </c>
      <c r="AT278" t="str">
        <f t="shared" si="267"/>
        <v>0.0000850469582399555i</v>
      </c>
      <c r="AU278">
        <f t="shared" si="290"/>
        <v>8.5046958239955495E-5</v>
      </c>
      <c r="AV278">
        <f t="shared" si="291"/>
        <v>1.5707963267948966</v>
      </c>
      <c r="AW278" t="str">
        <f t="shared" si="268"/>
        <v>1+0.084973388206876i</v>
      </c>
      <c r="AX278">
        <f t="shared" si="292"/>
        <v>1.0036037448631587</v>
      </c>
      <c r="AY278">
        <f t="shared" si="293"/>
        <v>8.4769753561767275E-2</v>
      </c>
      <c r="AZ278" t="str">
        <f t="shared" si="269"/>
        <v>1+2.88909519903378i</v>
      </c>
      <c r="BA278">
        <f t="shared" si="294"/>
        <v>3.0572652925580464</v>
      </c>
      <c r="BB278">
        <f t="shared" si="295"/>
        <v>1.2375740997335196</v>
      </c>
      <c r="BC278" s="41" t="str">
        <f t="shared" si="296"/>
        <v>-0.545584838834776+0.242330359986667i</v>
      </c>
      <c r="BD278">
        <f t="shared" si="297"/>
        <v>-4.4807836586148406</v>
      </c>
      <c r="BE278" s="43">
        <f t="shared" si="298"/>
        <v>156.0508236399798</v>
      </c>
      <c r="BF278" s="41" t="str">
        <f t="shared" si="299"/>
        <v>0.478034793499874+1.85810537411585i</v>
      </c>
      <c r="BG278" s="20">
        <f t="shared" si="300"/>
        <v>5.6597441182816794</v>
      </c>
      <c r="BH278" s="43">
        <f t="shared" si="301"/>
        <v>75.572393452319886</v>
      </c>
      <c r="BI278" s="41" t="str">
        <f t="shared" si="255"/>
        <v>1.17101304487477+8.52516452146906i</v>
      </c>
      <c r="BJ278" s="20">
        <f t="shared" si="302"/>
        <v>18.695233131799508</v>
      </c>
      <c r="BK278" s="43">
        <f t="shared" si="256"/>
        <v>82.178819648997035</v>
      </c>
      <c r="BL278">
        <f t="shared" si="303"/>
        <v>5.6597441182816794</v>
      </c>
      <c r="BM278" s="43">
        <f t="shared" si="304"/>
        <v>75.572393452319886</v>
      </c>
    </row>
    <row r="279" spans="14:65" x14ac:dyDescent="0.25">
      <c r="N279" s="9">
        <v>61</v>
      </c>
      <c r="O279" s="34">
        <f t="shared" si="254"/>
        <v>4073.8027780411317</v>
      </c>
      <c r="P279" s="33" t="str">
        <f t="shared" si="257"/>
        <v>19.6196196196196</v>
      </c>
      <c r="Q279" s="4" t="str">
        <f t="shared" si="258"/>
        <v>1+6.19580323631i</v>
      </c>
      <c r="R279" s="4">
        <f t="shared" si="270"/>
        <v>6.2759842051322492</v>
      </c>
      <c r="S279" s="4">
        <f t="shared" si="271"/>
        <v>1.4107767245734819</v>
      </c>
      <c r="T279" s="4" t="str">
        <f t="shared" si="259"/>
        <v>1+0.096242681175101i</v>
      </c>
      <c r="U279" s="4">
        <f t="shared" si="272"/>
        <v>1.0046206516291472</v>
      </c>
      <c r="V279" s="4">
        <f t="shared" si="273"/>
        <v>9.5947167580454615E-2</v>
      </c>
      <c r="W279" t="str">
        <f t="shared" si="260"/>
        <v>1-0.0559922513485462i</v>
      </c>
      <c r="X279" s="4">
        <f t="shared" si="274"/>
        <v>1.0015663393959877</v>
      </c>
      <c r="Y279" s="4">
        <f t="shared" si="275"/>
        <v>-5.5933846802571074E-2</v>
      </c>
      <c r="Z279" t="str">
        <f t="shared" si="261"/>
        <v>0.999983404130926+0.0374805274333125i</v>
      </c>
      <c r="AA279" s="4">
        <f t="shared" si="276"/>
        <v>1.000685564237815</v>
      </c>
      <c r="AB279" s="4">
        <f t="shared" si="277"/>
        <v>3.7463612615276254E-2</v>
      </c>
      <c r="AC279" s="47" t="str">
        <f t="shared" si="278"/>
        <v>0.508764529083194-3.10190528771231i</v>
      </c>
      <c r="AD279" s="20">
        <f t="shared" si="279"/>
        <v>9.9478585673599991</v>
      </c>
      <c r="AE279" s="43">
        <f t="shared" si="280"/>
        <v>-80.685464636643204</v>
      </c>
      <c r="AF279" t="str">
        <f t="shared" si="262"/>
        <v>72.2956529813786</v>
      </c>
      <c r="AG279" t="str">
        <f t="shared" si="263"/>
        <v>1+5.0527407616928i</v>
      </c>
      <c r="AH279">
        <f t="shared" si="281"/>
        <v>5.1507464706459727</v>
      </c>
      <c r="AI279">
        <f t="shared" si="282"/>
        <v>1.375408887779159</v>
      </c>
      <c r="AJ279" t="str">
        <f t="shared" si="264"/>
        <v>1+0.096242681175101i</v>
      </c>
      <c r="AK279">
        <f t="shared" si="283"/>
        <v>1.0046206516291472</v>
      </c>
      <c r="AL279">
        <f t="shared" si="284"/>
        <v>9.5947167580454615E-2</v>
      </c>
      <c r="AM279" t="str">
        <f t="shared" si="265"/>
        <v>1-0.0123918318279759i</v>
      </c>
      <c r="AN279">
        <f t="shared" si="285"/>
        <v>1.0000767758007647</v>
      </c>
      <c r="AO279">
        <f t="shared" si="286"/>
        <v>-1.2391197600186796E-2</v>
      </c>
      <c r="AP279" s="41" t="str">
        <f t="shared" si="287"/>
        <v>3.8828163048913-13.5568123072961i</v>
      </c>
      <c r="AQ279">
        <f t="shared" si="288"/>
        <v>22.985549092490348</v>
      </c>
      <c r="AR279" s="43">
        <f t="shared" si="289"/>
        <v>-74.017719941537351</v>
      </c>
      <c r="AS279" t="str">
        <f t="shared" si="266"/>
        <v>-0.0000166666666666667</v>
      </c>
      <c r="AT279" t="str">
        <f t="shared" si="267"/>
        <v>0.0000870279563817404i</v>
      </c>
      <c r="AU279">
        <f t="shared" si="290"/>
        <v>8.7027956381740396E-5</v>
      </c>
      <c r="AV279">
        <f t="shared" si="291"/>
        <v>1.5707963267948966</v>
      </c>
      <c r="AW279" t="str">
        <f t="shared" si="268"/>
        <v>1+0.0869526726824483i</v>
      </c>
      <c r="AX279">
        <f t="shared" si="292"/>
        <v>1.0037732648793856</v>
      </c>
      <c r="AY279">
        <f t="shared" si="293"/>
        <v>8.6734518504012828E-2</v>
      </c>
      <c r="AZ279" t="str">
        <f t="shared" si="269"/>
        <v>1+2.95639087120324i</v>
      </c>
      <c r="BA279">
        <f t="shared" si="294"/>
        <v>3.1209368758970202</v>
      </c>
      <c r="BB279">
        <f t="shared" si="295"/>
        <v>1.2446270792936567</v>
      </c>
      <c r="BC279" s="41" t="str">
        <f t="shared" si="296"/>
        <v>-0.545400574630518+0.238933379697167i</v>
      </c>
      <c r="BD279">
        <f t="shared" si="297"/>
        <v>-4.5032135061165359</v>
      </c>
      <c r="BE279" s="43">
        <f t="shared" si="298"/>
        <v>156.34235686284165</v>
      </c>
      <c r="BF279" s="41" t="str">
        <f t="shared" si="299"/>
        <v>0.463668247380016+1.81334175477162i</v>
      </c>
      <c r="BG279" s="20">
        <f t="shared" si="300"/>
        <v>5.444645061243456</v>
      </c>
      <c r="BH279" s="43">
        <f t="shared" si="301"/>
        <v>75.656892226198465</v>
      </c>
      <c r="BI279" s="41" t="str">
        <f t="shared" si="255"/>
        <v>1.12148473862995+8.32162764502832i</v>
      </c>
      <c r="BJ279" s="20">
        <f t="shared" si="302"/>
        <v>18.482335586373818</v>
      </c>
      <c r="BK279" s="43">
        <f t="shared" si="256"/>
        <v>82.32463692130429</v>
      </c>
      <c r="BL279">
        <f t="shared" si="303"/>
        <v>5.444645061243456</v>
      </c>
      <c r="BM279" s="43">
        <f t="shared" si="304"/>
        <v>75.656892226198465</v>
      </c>
    </row>
    <row r="280" spans="14:65" x14ac:dyDescent="0.25">
      <c r="N280" s="9">
        <v>62</v>
      </c>
      <c r="O280" s="34">
        <f t="shared" si="254"/>
        <v>4168.6938347033583</v>
      </c>
      <c r="P280" s="33" t="str">
        <f t="shared" si="257"/>
        <v>19.6196196196196</v>
      </c>
      <c r="Q280" s="4" t="str">
        <f t="shared" si="258"/>
        <v>1+6.34012203326646i</v>
      </c>
      <c r="R280" s="4">
        <f t="shared" si="270"/>
        <v>6.4185004009278392</v>
      </c>
      <c r="S280" s="4">
        <f t="shared" si="271"/>
        <v>1.4143594078327881</v>
      </c>
      <c r="T280" s="4" t="str">
        <f t="shared" si="259"/>
        <v>1+0.0984844612047919i</v>
      </c>
      <c r="U280" s="4">
        <f t="shared" si="272"/>
        <v>1.0048378919501384</v>
      </c>
      <c r="V280" s="4">
        <f t="shared" si="273"/>
        <v>9.8167894963408525E-2</v>
      </c>
      <c r="W280" t="str">
        <f t="shared" si="260"/>
        <v>1-0.0572964784269901i</v>
      </c>
      <c r="X280" s="4">
        <f t="shared" si="274"/>
        <v>1.0016400982589178</v>
      </c>
      <c r="Y280" s="4">
        <f t="shared" si="275"/>
        <v>-5.723390236152763E-2</v>
      </c>
      <c r="Z280" t="str">
        <f t="shared" si="261"/>
        <v>0.999982621991713+0.0383535610694953i</v>
      </c>
      <c r="AA280" s="4">
        <f t="shared" si="276"/>
        <v>1.0007178623029234</v>
      </c>
      <c r="AB280" s="4">
        <f t="shared" si="277"/>
        <v>3.8335437217448941E-2</v>
      </c>
      <c r="AC280" s="47" t="str">
        <f t="shared" si="278"/>
        <v>0.486872013215192-3.03555150760408i</v>
      </c>
      <c r="AD280" s="20">
        <f t="shared" si="279"/>
        <v>9.7550612912581087</v>
      </c>
      <c r="AE280" s="43">
        <f t="shared" si="280"/>
        <v>-80.887938527082156</v>
      </c>
      <c r="AF280" t="str">
        <f t="shared" si="262"/>
        <v>72.2956529813786</v>
      </c>
      <c r="AG280" t="str">
        <f t="shared" si="263"/>
        <v>1+5.17043421325158i</v>
      </c>
      <c r="AH280">
        <f t="shared" si="281"/>
        <v>5.2662500846012321</v>
      </c>
      <c r="AI280">
        <f t="shared" si="282"/>
        <v>1.3797478114420494</v>
      </c>
      <c r="AJ280" t="str">
        <f t="shared" si="264"/>
        <v>1+0.0984844612047919i</v>
      </c>
      <c r="AK280">
        <f t="shared" si="283"/>
        <v>1.0048378919501384</v>
      </c>
      <c r="AL280">
        <f t="shared" si="284"/>
        <v>9.8167894963408525E-2</v>
      </c>
      <c r="AM280" t="str">
        <f t="shared" si="265"/>
        <v>1-0.0126804746710894i</v>
      </c>
      <c r="AN280">
        <f t="shared" si="285"/>
        <v>1.0000803939873455</v>
      </c>
      <c r="AO280">
        <f t="shared" si="286"/>
        <v>-1.2679795086719946E-2</v>
      </c>
      <c r="AP280" s="41" t="str">
        <f t="shared" si="287"/>
        <v>3.76655941505542-13.271492430988i</v>
      </c>
      <c r="AQ280">
        <f t="shared" si="288"/>
        <v>22.794832451071446</v>
      </c>
      <c r="AR280" s="43">
        <f t="shared" si="289"/>
        <v>-74.155619066514461</v>
      </c>
      <c r="AS280" t="str">
        <f t="shared" si="266"/>
        <v>-0.0000166666666666667</v>
      </c>
      <c r="AT280" t="str">
        <f t="shared" si="267"/>
        <v>0.0000890550978979501i</v>
      </c>
      <c r="AU280">
        <f t="shared" si="290"/>
        <v>8.9055097897950102E-5</v>
      </c>
      <c r="AV280">
        <f t="shared" si="291"/>
        <v>1.5707963267948966</v>
      </c>
      <c r="AW280" t="str">
        <f t="shared" si="268"/>
        <v>1+0.0889780606160317i</v>
      </c>
      <c r="AX280">
        <f t="shared" si="292"/>
        <v>1.0039507434485968</v>
      </c>
      <c r="AY280">
        <f t="shared" si="293"/>
        <v>8.8744353855157734E-2</v>
      </c>
      <c r="AZ280" t="str">
        <f t="shared" si="269"/>
        <v>1+3.02525406094507i</v>
      </c>
      <c r="BA280">
        <f t="shared" si="294"/>
        <v>3.1862457741462187</v>
      </c>
      <c r="BB280">
        <f t="shared" si="295"/>
        <v>1.2515521840824473</v>
      </c>
      <c r="BC280" s="41" t="str">
        <f t="shared" si="296"/>
        <v>-0.54520775967744+0.235661586301415i</v>
      </c>
      <c r="BD280">
        <f t="shared" si="297"/>
        <v>-4.5248633793340227</v>
      </c>
      <c r="BE280" s="43">
        <f t="shared" si="298"/>
        <v>156.62398105678861</v>
      </c>
      <c r="BF280" s="41" t="str">
        <f t="shared" si="299"/>
        <v>0.44991648400693+1.76974326780635i</v>
      </c>
      <c r="BG280" s="20">
        <f t="shared" si="300"/>
        <v>5.2301979119240807</v>
      </c>
      <c r="BH280" s="43">
        <f t="shared" si="301"/>
        <v>75.736042529706395</v>
      </c>
      <c r="BI280" s="41" t="str">
        <f t="shared" si="255"/>
        <v>1.07402353849952+8.12335402252556i</v>
      </c>
      <c r="BJ280" s="20">
        <f t="shared" si="302"/>
        <v>18.269969071737421</v>
      </c>
      <c r="BK280" s="43">
        <f t="shared" si="256"/>
        <v>82.468361990274133</v>
      </c>
      <c r="BL280">
        <f t="shared" si="303"/>
        <v>5.2301979119240807</v>
      </c>
      <c r="BM280" s="43">
        <f t="shared" si="304"/>
        <v>75.736042529706395</v>
      </c>
    </row>
    <row r="281" spans="14:65" x14ac:dyDescent="0.25">
      <c r="N281" s="9">
        <v>63</v>
      </c>
      <c r="O281" s="34">
        <f t="shared" si="254"/>
        <v>4265.7951880159299</v>
      </c>
      <c r="P281" s="33" t="str">
        <f t="shared" si="257"/>
        <v>19.6196196196196</v>
      </c>
      <c r="Q281" s="4" t="str">
        <f t="shared" si="258"/>
        <v>1+6.48780244684637i</v>
      </c>
      <c r="R281" s="4">
        <f t="shared" si="270"/>
        <v>6.5644177646845225</v>
      </c>
      <c r="S281" s="4">
        <f t="shared" si="271"/>
        <v>1.4178644561120299</v>
      </c>
      <c r="T281" s="4" t="str">
        <f t="shared" si="259"/>
        <v>1+0.100778458999409i</v>
      </c>
      <c r="U281" s="4">
        <f t="shared" si="272"/>
        <v>1.0050653201649611</v>
      </c>
      <c r="V281" s="4">
        <f t="shared" si="273"/>
        <v>0.10043934442193034</v>
      </c>
      <c r="W281" t="str">
        <f t="shared" si="260"/>
        <v>1-0.0586310848567043i</v>
      </c>
      <c r="X281" s="4">
        <f t="shared" si="274"/>
        <v>1.0017173274489535</v>
      </c>
      <c r="Y281" s="4">
        <f t="shared" si="275"/>
        <v>-5.8564039601377661E-2</v>
      </c>
      <c r="Z281" t="str">
        <f t="shared" si="261"/>
        <v>0.999981802991414+0.0392469302714265i</v>
      </c>
      <c r="AA281" s="4">
        <f t="shared" si="276"/>
        <v>1.0007516814123718</v>
      </c>
      <c r="AB281" s="4">
        <f t="shared" si="277"/>
        <v>3.9227511001683167E-2</v>
      </c>
      <c r="AC281" s="47" t="str">
        <f t="shared" si="278"/>
        <v>0.465915236206845-2.97050384586852i</v>
      </c>
      <c r="AD281" s="20">
        <f t="shared" si="279"/>
        <v>9.5621503323266186</v>
      </c>
      <c r="AE281" s="43">
        <f t="shared" si="280"/>
        <v>-81.085941845989211</v>
      </c>
      <c r="AF281" t="str">
        <f t="shared" si="262"/>
        <v>72.2956529813786</v>
      </c>
      <c r="AG281" t="str">
        <f t="shared" si="263"/>
        <v>1+5.29086909746899i</v>
      </c>
      <c r="AH281">
        <f t="shared" si="281"/>
        <v>5.3845423024201722</v>
      </c>
      <c r="AI281">
        <f t="shared" si="282"/>
        <v>1.3839950175097939</v>
      </c>
      <c r="AJ281" t="str">
        <f t="shared" si="264"/>
        <v>1+0.100778458999409i</v>
      </c>
      <c r="AK281">
        <f t="shared" si="283"/>
        <v>1.0050653201649611</v>
      </c>
      <c r="AL281">
        <f t="shared" si="284"/>
        <v>0.10043934442193034</v>
      </c>
      <c r="AM281" t="str">
        <f t="shared" si="265"/>
        <v>1-0.0129758408697194i</v>
      </c>
      <c r="AN281">
        <f t="shared" si="285"/>
        <v>1.0000841826797764</v>
      </c>
      <c r="AO281">
        <f t="shared" si="286"/>
        <v>-1.2975112685258462E-2</v>
      </c>
      <c r="AP281" s="41" t="str">
        <f t="shared" si="287"/>
        <v>3.65516550176686-12.9912545882725i</v>
      </c>
      <c r="AQ281">
        <f t="shared" si="288"/>
        <v>22.603884756944716</v>
      </c>
      <c r="AR281" s="43">
        <f t="shared" si="289"/>
        <v>-74.285742033580206</v>
      </c>
      <c r="AS281" t="str">
        <f t="shared" si="266"/>
        <v>-0.0000166666666666667</v>
      </c>
      <c r="AT281" t="str">
        <f t="shared" si="267"/>
        <v>0.0000911294576058488i</v>
      </c>
      <c r="AU281">
        <f t="shared" si="290"/>
        <v>9.1129457605848804E-5</v>
      </c>
      <c r="AV281">
        <f t="shared" si="291"/>
        <v>1.5707963267948966</v>
      </c>
      <c r="AW281" t="str">
        <f t="shared" si="268"/>
        <v>1+0.0910506258951174i</v>
      </c>
      <c r="AX281">
        <f t="shared" si="292"/>
        <v>1.0041365527038106</v>
      </c>
      <c r="AY281">
        <f t="shared" si="293"/>
        <v>9.0800260271663255E-2</v>
      </c>
      <c r="AZ281" t="str">
        <f t="shared" si="269"/>
        <v>1+3.09572128043399i</v>
      </c>
      <c r="BA281">
        <f t="shared" si="294"/>
        <v>3.2532276658930379</v>
      </c>
      <c r="BB281">
        <f t="shared" si="295"/>
        <v>1.2583504281310125</v>
      </c>
      <c r="BC281" s="41" t="str">
        <f t="shared" si="296"/>
        <v>-0.545006003701939+0.232513139565729i</v>
      </c>
      <c r="BD281">
        <f t="shared" si="297"/>
        <v>-4.5457671089503284</v>
      </c>
      <c r="BE281" s="43">
        <f t="shared" si="298"/>
        <v>156.89569698813148</v>
      </c>
      <c r="BF281" s="41" t="str">
        <f t="shared" si="299"/>
        <v>0.436754574346024+1.72727384436i</v>
      </c>
      <c r="BG281" s="20">
        <f t="shared" si="300"/>
        <v>5.0163832233762706</v>
      </c>
      <c r="BH281" s="43">
        <f t="shared" si="301"/>
        <v>75.809755142142279</v>
      </c>
      <c r="BI281" s="41" t="str">
        <f t="shared" si="255"/>
        <v>1.02855024822977+7.93018575267703i</v>
      </c>
      <c r="BJ281" s="20">
        <f t="shared" si="302"/>
        <v>18.058117647994386</v>
      </c>
      <c r="BK281" s="43">
        <f t="shared" si="256"/>
        <v>82.609954954551313</v>
      </c>
      <c r="BL281">
        <f t="shared" si="303"/>
        <v>5.0163832233762706</v>
      </c>
      <c r="BM281" s="43">
        <f t="shared" si="304"/>
        <v>75.809755142142279</v>
      </c>
    </row>
    <row r="282" spans="14:65" x14ac:dyDescent="0.25">
      <c r="N282" s="9">
        <v>64</v>
      </c>
      <c r="O282" s="34">
        <f t="shared" si="254"/>
        <v>4365.1583224016631</v>
      </c>
      <c r="P282" s="33" t="str">
        <f t="shared" si="257"/>
        <v>19.6196196196196</v>
      </c>
      <c r="Q282" s="4" t="str">
        <f t="shared" si="258"/>
        <v>1+6.63892277915981i</v>
      </c>
      <c r="R282" s="4">
        <f t="shared" si="270"/>
        <v>6.7138137945319141</v>
      </c>
      <c r="S282" s="4">
        <f t="shared" si="271"/>
        <v>1.4212933831711354</v>
      </c>
      <c r="T282" s="4" t="str">
        <f t="shared" si="259"/>
        <v>1+0.103125890866949i</v>
      </c>
      <c r="U282" s="4">
        <f t="shared" si="272"/>
        <v>1.0053034115962711</v>
      </c>
      <c r="V282" s="4">
        <f t="shared" si="273"/>
        <v>0.1027626265011158</v>
      </c>
      <c r="W282" t="str">
        <f t="shared" si="260"/>
        <v>1-0.0599967782636837i</v>
      </c>
      <c r="X282" s="4">
        <f t="shared" si="274"/>
        <v>1.0017981899574493</v>
      </c>
      <c r="Y282" s="4">
        <f t="shared" si="275"/>
        <v>-5.9924944940920093E-2</v>
      </c>
      <c r="Z282" t="str">
        <f t="shared" si="261"/>
        <v>0.99998094539282+0.0401611087152821i</v>
      </c>
      <c r="AA282" s="4">
        <f t="shared" si="276"/>
        <v>1.0007870931431715</v>
      </c>
      <c r="AB282" s="4">
        <f t="shared" si="277"/>
        <v>4.0140301476483696E-2</v>
      </c>
      <c r="AC282" s="47" t="str">
        <f t="shared" si="278"/>
        <v>0.445855922251101-2.90674711664528i</v>
      </c>
      <c r="AD282" s="20">
        <f t="shared" si="279"/>
        <v>9.3691398873681138</v>
      </c>
      <c r="AE282" s="43">
        <f t="shared" si="280"/>
        <v>-81.27956381103688</v>
      </c>
      <c r="AF282" t="str">
        <f t="shared" si="262"/>
        <v>72.2956529813786</v>
      </c>
      <c r="AG282" t="str">
        <f t="shared" si="263"/>
        <v>1+5.41410927051481i</v>
      </c>
      <c r="AH282">
        <f t="shared" si="281"/>
        <v>5.5056860783261525</v>
      </c>
      <c r="AI282">
        <f t="shared" si="282"/>
        <v>1.3881521446958494</v>
      </c>
      <c r="AJ282" t="str">
        <f t="shared" si="264"/>
        <v>1+0.103125890866949i</v>
      </c>
      <c r="AK282">
        <f t="shared" si="283"/>
        <v>1.0053034115962711</v>
      </c>
      <c r="AL282">
        <f t="shared" si="284"/>
        <v>0.1027626265011158</v>
      </c>
      <c r="AM282" t="str">
        <f t="shared" si="265"/>
        <v>1-0.013278087030934i</v>
      </c>
      <c r="AN282">
        <f t="shared" si="285"/>
        <v>1.000088149912397</v>
      </c>
      <c r="AO282">
        <f t="shared" si="286"/>
        <v>-1.3277306770940696E-2</v>
      </c>
      <c r="AP282" s="41" t="str">
        <f t="shared" si="287"/>
        <v>3.54844655542399-12.7160717443798i</v>
      </c>
      <c r="AQ282">
        <f t="shared" si="288"/>
        <v>22.412723541950918</v>
      </c>
      <c r="AR282" s="43">
        <f t="shared" si="289"/>
        <v>-74.408128064187892</v>
      </c>
      <c r="AS282" t="str">
        <f t="shared" si="266"/>
        <v>-0.0000166666666666667</v>
      </c>
      <c r="AT282" t="str">
        <f t="shared" si="267"/>
        <v>0.0000932521353584112i</v>
      </c>
      <c r="AU282">
        <f t="shared" si="290"/>
        <v>9.3252135358411201E-5</v>
      </c>
      <c r="AV282">
        <f t="shared" si="291"/>
        <v>1.5707963267948966</v>
      </c>
      <c r="AW282" t="str">
        <f t="shared" si="268"/>
        <v>1+0.09317146742125i</v>
      </c>
      <c r="AX282">
        <f t="shared" si="292"/>
        <v>1.0043310820349178</v>
      </c>
      <c r="AY282">
        <f t="shared" si="293"/>
        <v>9.2903258265417343E-2</v>
      </c>
      <c r="AZ282" t="str">
        <f t="shared" si="269"/>
        <v>1+3.16782989232249i</v>
      </c>
      <c r="BA282">
        <f t="shared" si="294"/>
        <v>3.3219190578176221</v>
      </c>
      <c r="BB282">
        <f t="shared" si="295"/>
        <v>1.2650229015877121</v>
      </c>
      <c r="BC282" s="41" t="str">
        <f t="shared" si="296"/>
        <v>-0.544794899240969+0.229486257317324i</v>
      </c>
      <c r="BD282">
        <f t="shared" si="297"/>
        <v>-4.5659578608657201</v>
      </c>
      <c r="BE282" s="43">
        <f t="shared" si="298"/>
        <v>157.15750864674689</v>
      </c>
      <c r="BF282" s="41" t="str">
        <f t="shared" si="299"/>
        <v>0.42415848452807+1.68589880943191i</v>
      </c>
      <c r="BG282" s="20">
        <f t="shared" si="300"/>
        <v>4.8031820265023848</v>
      </c>
      <c r="BH282" s="43">
        <f t="shared" si="301"/>
        <v>75.877944835710039</v>
      </c>
      <c r="BI282" s="41" t="str">
        <f t="shared" si="255"/>
        <v>0.98498812877212+7.74197074401513i</v>
      </c>
      <c r="BJ282" s="20">
        <f t="shared" si="302"/>
        <v>17.846765681085198</v>
      </c>
      <c r="BK282" s="43">
        <f t="shared" si="256"/>
        <v>82.749380582558999</v>
      </c>
      <c r="BL282">
        <f t="shared" si="303"/>
        <v>4.8031820265023848</v>
      </c>
      <c r="BM282" s="43">
        <f t="shared" si="304"/>
        <v>75.877944835710039</v>
      </c>
    </row>
    <row r="283" spans="14:65" x14ac:dyDescent="0.25">
      <c r="N283" s="9">
        <v>65</v>
      </c>
      <c r="O283" s="34">
        <f t="shared" si="254"/>
        <v>4466.8359215096343</v>
      </c>
      <c r="P283" s="33" t="str">
        <f t="shared" si="257"/>
        <v>19.6196196196196</v>
      </c>
      <c r="Q283" s="4" t="str">
        <f t="shared" si="258"/>
        <v>1+6.7935631562073i</v>
      </c>
      <c r="R283" s="4">
        <f t="shared" si="270"/>
        <v>6.8667678246302524</v>
      </c>
      <c r="S283" s="4">
        <f t="shared" si="271"/>
        <v>1.4246476843803062</v>
      </c>
      <c r="T283" s="4" t="str">
        <f t="shared" si="259"/>
        <v>1+0.105528001446858i</v>
      </c>
      <c r="U283" s="4">
        <f t="shared" si="272"/>
        <v>1.0055526635086638</v>
      </c>
      <c r="V283" s="4">
        <f t="shared" si="273"/>
        <v>0.10513887265903316</v>
      </c>
      <c r="W283" t="str">
        <f t="shared" si="260"/>
        <v>1-0.0613942827566497i</v>
      </c>
      <c r="X283" s="4">
        <f t="shared" si="274"/>
        <v>1.0018828564034836</v>
      </c>
      <c r="Y283" s="4">
        <f t="shared" si="275"/>
        <v>-6.1317319774919145E-2</v>
      </c>
      <c r="Z283" t="str">
        <f t="shared" si="261"/>
        <v>0.99998004737685+0.0410965811105737i</v>
      </c>
      <c r="AA283" s="4">
        <f t="shared" si="276"/>
        <v>1.0008241724352909</v>
      </c>
      <c r="AB283" s="4">
        <f t="shared" si="277"/>
        <v>4.1074286743853695E-2</v>
      </c>
      <c r="AC283" s="47" t="str">
        <f t="shared" si="278"/>
        <v>0.42665718000212-2.84426562665419i</v>
      </c>
      <c r="AD283" s="20">
        <f t="shared" si="279"/>
        <v>9.1760439897358062</v>
      </c>
      <c r="AE283" s="43">
        <f t="shared" si="280"/>
        <v>-81.468892853041211</v>
      </c>
      <c r="AF283" t="str">
        <f t="shared" si="262"/>
        <v>72.2956529813786</v>
      </c>
      <c r="AG283" t="str">
        <f t="shared" si="263"/>
        <v>1+5.54022007596007i</v>
      </c>
      <c r="AH283">
        <f t="shared" si="281"/>
        <v>5.6297458637198714</v>
      </c>
      <c r="AI283">
        <f t="shared" si="282"/>
        <v>1.3922208221455785</v>
      </c>
      <c r="AJ283" t="str">
        <f t="shared" si="264"/>
        <v>1+0.105528001446858i</v>
      </c>
      <c r="AK283">
        <f t="shared" si="283"/>
        <v>1.0055526635086638</v>
      </c>
      <c r="AL283">
        <f t="shared" si="284"/>
        <v>0.10513887265903316</v>
      </c>
      <c r="AM283" t="str">
        <f t="shared" si="265"/>
        <v>1-0.0135873734096488i</v>
      </c>
      <c r="AN283">
        <f t="shared" si="285"/>
        <v>1.0000923040980634</v>
      </c>
      <c r="AO283">
        <f t="shared" si="286"/>
        <v>-1.3586537350170411E-2</v>
      </c>
      <c r="AP283" s="41" t="str">
        <f t="shared" si="287"/>
        <v>3.44622051621393-12.4459123506458i</v>
      </c>
      <c r="AQ283">
        <f t="shared" si="288"/>
        <v>22.221366003537764</v>
      </c>
      <c r="AR283" s="43">
        <f t="shared" si="289"/>
        <v>-74.522814841410877</v>
      </c>
      <c r="AS283" t="str">
        <f t="shared" si="266"/>
        <v>-0.0000166666666666667</v>
      </c>
      <c r="AT283" t="str">
        <f t="shared" si="267"/>
        <v>0.0000954242566274785i</v>
      </c>
      <c r="AU283">
        <f t="shared" si="290"/>
        <v>9.5424256627478504E-5</v>
      </c>
      <c r="AV283">
        <f t="shared" si="291"/>
        <v>1.5707963267948966</v>
      </c>
      <c r="AW283" t="str">
        <f t="shared" si="268"/>
        <v>1+0.0953417096926797i</v>
      </c>
      <c r="AX283">
        <f t="shared" si="292"/>
        <v>1.0045347388752284</v>
      </c>
      <c r="AY283">
        <f t="shared" si="293"/>
        <v>9.5054388426932798E-2</v>
      </c>
      <c r="AZ283" t="str">
        <f t="shared" si="269"/>
        <v>1+3.2416181295511i</v>
      </c>
      <c r="BA283">
        <f t="shared" si="294"/>
        <v>3.3923573069230741</v>
      </c>
      <c r="BB283">
        <f t="shared" si="295"/>
        <v>1.2715707648806867</v>
      </c>
      <c r="BC283" s="41" t="str">
        <f t="shared" si="296"/>
        <v>-0.544574020944741+0.226579213999064i</v>
      </c>
      <c r="BD283">
        <f t="shared" si="297"/>
        <v>-4.58546813962624</v>
      </c>
      <c r="BE283" s="43">
        <f t="shared" si="298"/>
        <v>157.40942289882477</v>
      </c>
      <c r="BF283" s="41" t="str">
        <f t="shared" si="299"/>
        <v>0.412105054013163+1.64558481743392i</v>
      </c>
      <c r="BG283" s="20">
        <f t="shared" si="300"/>
        <v>4.5905758501095484</v>
      </c>
      <c r="BH283" s="43">
        <f t="shared" si="301"/>
        <v>75.940530045783532</v>
      </c>
      <c r="BI283" s="41" t="str">
        <f t="shared" si="255"/>
        <v>0.943262874333687+7.5585624689482i</v>
      </c>
      <c r="BJ283" s="20">
        <f t="shared" si="302"/>
        <v>17.635897863911524</v>
      </c>
      <c r="BK283" s="43">
        <f t="shared" si="256"/>
        <v>82.886608057413909</v>
      </c>
      <c r="BL283">
        <f t="shared" si="303"/>
        <v>4.5905758501095484</v>
      </c>
      <c r="BM283" s="43">
        <f t="shared" si="304"/>
        <v>75.940530045783532</v>
      </c>
    </row>
    <row r="284" spans="14:65" x14ac:dyDescent="0.25">
      <c r="N284" s="9">
        <v>66</v>
      </c>
      <c r="O284" s="34">
        <f t="shared" ref="O284:O318" si="305">10^(3+(N284/100))</f>
        <v>4570.8818961487532</v>
      </c>
      <c r="P284" s="33" t="str">
        <f t="shared" si="257"/>
        <v>19.6196196196196</v>
      </c>
      <c r="Q284" s="4" t="str">
        <f t="shared" si="258"/>
        <v>1+6.95180557036365i</v>
      </c>
      <c r="R284" s="4">
        <f t="shared" si="270"/>
        <v>7.0233610677608675</v>
      </c>
      <c r="S284" s="4">
        <f t="shared" si="271"/>
        <v>1.4279288361550115</v>
      </c>
      <c r="T284" s="4" t="str">
        <f t="shared" si="259"/>
        <v>1+0.107986064369963i</v>
      </c>
      <c r="U284" s="4">
        <f t="shared" si="272"/>
        <v>1.0058135960992542</v>
      </c>
      <c r="V284" s="4">
        <f t="shared" si="273"/>
        <v>0.10756923541355412</v>
      </c>
      <c r="W284" t="str">
        <f t="shared" si="260"/>
        <v>1-0.0628243393109828i</v>
      </c>
      <c r="X284" s="4">
        <f t="shared" si="274"/>
        <v>1.001971505388183</v>
      </c>
      <c r="Y284" s="4">
        <f t="shared" si="275"/>
        <v>-6.2741880751482959E-2</v>
      </c>
      <c r="Z284" t="str">
        <f t="shared" si="261"/>
        <v>0.999979107038691+0.0420538434571477i</v>
      </c>
      <c r="AA284" s="4">
        <f t="shared" si="276"/>
        <v>1.0008629977491506</v>
      </c>
      <c r="AB284" s="4">
        <f t="shared" si="277"/>
        <v>4.2029955724991755E-2</v>
      </c>
      <c r="AC284" s="47" t="str">
        <f t="shared" si="278"/>
        <v>0.408283467009449-2.78304323625001i</v>
      </c>
      <c r="AD284" s="20">
        <f t="shared" si="279"/>
        <v>8.9828765328213738</v>
      </c>
      <c r="AE284" s="43">
        <f t="shared" si="280"/>
        <v>-81.654016604000745</v>
      </c>
      <c r="AF284" t="str">
        <f t="shared" si="262"/>
        <v>72.2956529813786</v>
      </c>
      <c r="AG284" t="str">
        <f t="shared" si="263"/>
        <v>1+5.66926837942309i</v>
      </c>
      <c r="AH284">
        <f t="shared" si="281"/>
        <v>5.7567876422468904</v>
      </c>
      <c r="AI284">
        <f t="shared" si="282"/>
        <v>1.3962026680331752</v>
      </c>
      <c r="AJ284" t="str">
        <f t="shared" si="264"/>
        <v>1+0.107986064369963i</v>
      </c>
      <c r="AK284">
        <f t="shared" si="283"/>
        <v>1.0058135960992542</v>
      </c>
      <c r="AL284">
        <f t="shared" si="284"/>
        <v>0.10756923541355412</v>
      </c>
      <c r="AM284" t="str">
        <f t="shared" si="265"/>
        <v>1-0.0139038639935954i</v>
      </c>
      <c r="AN284">
        <f t="shared" si="285"/>
        <v>1.0000966540459739</v>
      </c>
      <c r="AO284">
        <f t="shared" si="286"/>
        <v>-1.3902968144399976E-2</v>
      </c>
      <c r="AP284" s="41" t="str">
        <f t="shared" si="287"/>
        <v>3.34831120260181-12.1807407152441i</v>
      </c>
      <c r="AQ284">
        <f t="shared" si="288"/>
        <v>22.029829029429283</v>
      </c>
      <c r="AR284" s="43">
        <f t="shared" si="289"/>
        <v>-74.629838425939127</v>
      </c>
      <c r="AS284" t="str">
        <f t="shared" si="266"/>
        <v>-0.0000166666666666667</v>
      </c>
      <c r="AT284" t="str">
        <f t="shared" si="267"/>
        <v>0.0000976469731004991i</v>
      </c>
      <c r="AU284">
        <f t="shared" si="290"/>
        <v>9.7646973100499099E-5</v>
      </c>
      <c r="AV284">
        <f t="shared" si="291"/>
        <v>1.5707963267948966</v>
      </c>
      <c r="AW284" t="str">
        <f t="shared" si="268"/>
        <v>1+0.0975625034005852i</v>
      </c>
      <c r="AX284">
        <f t="shared" si="292"/>
        <v>1.0047479495225602</v>
      </c>
      <c r="AY284">
        <f t="shared" si="293"/>
        <v>9.7254711637543692E-2</v>
      </c>
      <c r="AZ284" t="str">
        <f t="shared" si="269"/>
        <v>1+3.31712511561989i</v>
      </c>
      <c r="BA284">
        <f t="shared" si="294"/>
        <v>3.4645806431192026</v>
      </c>
      <c r="BB284">
        <f t="shared" si="295"/>
        <v>1.2779952430736119</v>
      </c>
      <c r="BC284" s="41" t="str">
        <f t="shared" si="296"/>
        <v>-0.544342924856938+0.223790339221324i</v>
      </c>
      <c r="BD284">
        <f t="shared" si="297"/>
        <v>-4.6043297945514379</v>
      </c>
      <c r="BE284" s="43">
        <f t="shared" si="298"/>
        <v>157.65144915132061</v>
      </c>
      <c r="BF284" s="41" t="str">
        <f t="shared" si="299"/>
        <v>0.400571973305346+1.60629979080415i</v>
      </c>
      <c r="BG284" s="20">
        <f t="shared" si="300"/>
        <v>4.378546738269927</v>
      </c>
      <c r="BH284" s="43">
        <f t="shared" si="301"/>
        <v>75.997432547319875</v>
      </c>
      <c r="BI284" s="41" t="str">
        <f t="shared" si="255"/>
        <v>0.903302583275949+7.37981972770878i</v>
      </c>
      <c r="BJ284" s="20">
        <f t="shared" si="302"/>
        <v>17.42549923487784</v>
      </c>
      <c r="BK284" s="43">
        <f t="shared" si="256"/>
        <v>83.021610725381478</v>
      </c>
      <c r="BL284">
        <f t="shared" si="303"/>
        <v>4.378546738269927</v>
      </c>
      <c r="BM284" s="43">
        <f t="shared" si="304"/>
        <v>75.997432547319875</v>
      </c>
    </row>
    <row r="285" spans="14:65" x14ac:dyDescent="0.25">
      <c r="N285" s="9">
        <v>67</v>
      </c>
      <c r="O285" s="34">
        <f t="shared" si="305"/>
        <v>4677.3514128719844</v>
      </c>
      <c r="P285" s="33" t="str">
        <f t="shared" si="257"/>
        <v>19.6196196196196</v>
      </c>
      <c r="Q285" s="4" t="str">
        <f t="shared" si="258"/>
        <v>1+7.11373392385143i</v>
      </c>
      <c r="R285" s="4">
        <f t="shared" si="270"/>
        <v>7.1836766588812075</v>
      </c>
      <c r="S285" s="4">
        <f t="shared" si="271"/>
        <v>1.4311382954603153</v>
      </c>
      <c r="T285" s="4" t="str">
        <f t="shared" si="259"/>
        <v>1+0.110501382933762i</v>
      </c>
      <c r="U285" s="4">
        <f t="shared" si="272"/>
        <v>1.0060867535308642</v>
      </c>
      <c r="V285" s="4">
        <f t="shared" si="273"/>
        <v>0.1100548884699256</v>
      </c>
      <c r="W285" t="str">
        <f t="shared" si="260"/>
        <v>1-0.064287706161597i</v>
      </c>
      <c r="X285" s="4">
        <f t="shared" si="274"/>
        <v>1.0020643238652496</v>
      </c>
      <c r="Y285" s="4">
        <f t="shared" si="275"/>
        <v>-6.4199360050909635E-2</v>
      </c>
      <c r="Z285" t="str">
        <f t="shared" si="261"/>
        <v>0.99997812238376+0.043033403308171i</v>
      </c>
      <c r="AA285" s="4">
        <f t="shared" si="276"/>
        <v>1.0009036512304437</v>
      </c>
      <c r="AB285" s="4">
        <f t="shared" si="277"/>
        <v>4.3007808389755368E-2</v>
      </c>
      <c r="AC285" s="47" t="str">
        <f t="shared" si="278"/>
        <v>0.390700553628505-2.72306341662949i</v>
      </c>
      <c r="AD285" s="20">
        <f t="shared" si="279"/>
        <v>8.7896512935513691</v>
      </c>
      <c r="AE285" s="43">
        <f t="shared" si="280"/>
        <v>-81.835021890511172</v>
      </c>
      <c r="AF285" t="str">
        <f t="shared" si="262"/>
        <v>72.2956529813786</v>
      </c>
      <c r="AG285" t="str">
        <f t="shared" si="263"/>
        <v>1+5.80132260402251i</v>
      </c>
      <c r="AH285">
        <f t="shared" si="281"/>
        <v>5.8868789656270764</v>
      </c>
      <c r="AI285">
        <f t="shared" si="282"/>
        <v>1.400099288275537</v>
      </c>
      <c r="AJ285" t="str">
        <f t="shared" si="264"/>
        <v>1+0.110501382933762i</v>
      </c>
      <c r="AK285">
        <f t="shared" si="283"/>
        <v>1.0060867535308642</v>
      </c>
      <c r="AL285">
        <f t="shared" si="284"/>
        <v>0.1100548884699256</v>
      </c>
      <c r="AM285" t="str">
        <f t="shared" si="265"/>
        <v>1-0.0142277265902709i</v>
      </c>
      <c r="AN285">
        <f t="shared" si="285"/>
        <v>1.0001012089803349</v>
      </c>
      <c r="AO285">
        <f t="shared" si="286"/>
        <v>-1.4226766675809912E-2</v>
      </c>
      <c r="AP285" s="41" t="str">
        <f t="shared" si="287"/>
        <v>3.25454822872587-11.9205173549313i</v>
      </c>
      <c r="AQ285">
        <f t="shared" si="288"/>
        <v>21.83812922238846</v>
      </c>
      <c r="AR285" s="43">
        <f t="shared" si="289"/>
        <v>-74.729233179990217</v>
      </c>
      <c r="AS285" t="str">
        <f t="shared" si="266"/>
        <v>-0.0000166666666666667</v>
      </c>
      <c r="AT285" t="str">
        <f t="shared" si="267"/>
        <v>0.000099921463291168i</v>
      </c>
      <c r="AU285">
        <f t="shared" si="290"/>
        <v>9.9921463291167997E-5</v>
      </c>
      <c r="AV285">
        <f t="shared" si="291"/>
        <v>1.5707963267948966</v>
      </c>
      <c r="AW285" t="str">
        <f t="shared" si="268"/>
        <v>1+0.099835026039186i</v>
      </c>
      <c r="AX285">
        <f t="shared" si="292"/>
        <v>1.0049711599962683</v>
      </c>
      <c r="AY285">
        <f t="shared" si="293"/>
        <v>9.9505309269296072E-2</v>
      </c>
      <c r="AZ285" t="str">
        <f t="shared" si="269"/>
        <v>1+3.39439088533232i</v>
      </c>
      <c r="BA285">
        <f t="shared" si="294"/>
        <v>3.5386281921709619</v>
      </c>
      <c r="BB285">
        <f t="shared" si="295"/>
        <v>1.2842976204220555</v>
      </c>
      <c r="BC285" s="41" t="str">
        <f t="shared" si="296"/>
        <v>-0.544101147672368+0.221118016308252i</v>
      </c>
      <c r="BD285">
        <f t="shared" si="297"/>
        <v>-4.6225740283730108</v>
      </c>
      <c r="BE285" s="43">
        <f t="shared" si="298"/>
        <v>157.88359902860373</v>
      </c>
      <c r="BF285" s="41" t="str">
        <f t="shared" si="299"/>
        <v>0.389537761341185+1.56801286156162i</v>
      </c>
      <c r="BG285" s="20">
        <f t="shared" si="300"/>
        <v>4.1670772651783814</v>
      </c>
      <c r="BH285" s="43">
        <f t="shared" si="301"/>
        <v>76.048577138092597</v>
      </c>
      <c r="BI285" s="41" t="str">
        <f t="shared" si="255"/>
        <v>0.865037724485682+7.2056064219819i</v>
      </c>
      <c r="BJ285" s="20">
        <f t="shared" si="302"/>
        <v>17.215555194015447</v>
      </c>
      <c r="BK285" s="43">
        <f t="shared" si="256"/>
        <v>83.154365848613523</v>
      </c>
      <c r="BL285">
        <f t="shared" si="303"/>
        <v>4.1670772651783814</v>
      </c>
      <c r="BM285" s="43">
        <f t="shared" si="304"/>
        <v>76.048577138092597</v>
      </c>
    </row>
    <row r="286" spans="14:65" x14ac:dyDescent="0.25">
      <c r="N286" s="9">
        <v>68</v>
      </c>
      <c r="O286" s="34">
        <f t="shared" si="305"/>
        <v>4786.3009232263848</v>
      </c>
      <c r="P286" s="33" t="str">
        <f t="shared" si="257"/>
        <v>19.6196196196196</v>
      </c>
      <c r="Q286" s="4" t="str">
        <f t="shared" si="258"/>
        <v>1+7.27943407322704i</v>
      </c>
      <c r="R286" s="4">
        <f t="shared" si="270"/>
        <v>7.3477996996692019</v>
      </c>
      <c r="S286" s="4">
        <f t="shared" si="271"/>
        <v>1.4342774993801175</v>
      </c>
      <c r="T286" s="4" t="str">
        <f t="shared" si="259"/>
        <v>1+0.113075290793451i</v>
      </c>
      <c r="U286" s="4">
        <f t="shared" si="272"/>
        <v>1.0063727050094431</v>
      </c>
      <c r="V286" s="4">
        <f t="shared" si="273"/>
        <v>0.11259702682722932</v>
      </c>
      <c r="W286" t="str">
        <f t="shared" si="260"/>
        <v>1-0.0657851592049665i</v>
      </c>
      <c r="X286" s="4">
        <f t="shared" si="274"/>
        <v>1.0021615075284136</v>
      </c>
      <c r="Y286" s="4">
        <f t="shared" si="275"/>
        <v>-6.5690505665694107E-2</v>
      </c>
      <c r="Z286" t="str">
        <f t="shared" si="261"/>
        <v>0.999977091323472+0.0440357800392428i</v>
      </c>
      <c r="AA286" s="4">
        <f t="shared" si="276"/>
        <v>1.0009462188826213</v>
      </c>
      <c r="AB286" s="4">
        <f t="shared" si="277"/>
        <v>4.4008355989874258E-2</v>
      </c>
      <c r="AC286" s="47" t="str">
        <f t="shared" si="278"/>
        <v>0.373875486583973-2.66430930336058i</v>
      </c>
      <c r="AD286" s="20">
        <f t="shared" si="279"/>
        <v>8.5963819558981598</v>
      </c>
      <c r="AE286" s="43">
        <f t="shared" si="280"/>
        <v>-82.011994732390292</v>
      </c>
      <c r="AF286" t="str">
        <f t="shared" si="262"/>
        <v>72.2956529813786</v>
      </c>
      <c r="AG286" t="str">
        <f t="shared" si="263"/>
        <v>1+5.93645276665617i</v>
      </c>
      <c r="AH286">
        <f t="shared" si="281"/>
        <v>6.0200889902674763</v>
      </c>
      <c r="AI286">
        <f t="shared" si="282"/>
        <v>1.4039122753570139</v>
      </c>
      <c r="AJ286" t="str">
        <f t="shared" si="264"/>
        <v>1+0.113075290793451i</v>
      </c>
      <c r="AK286">
        <f t="shared" si="283"/>
        <v>1.0063727050094431</v>
      </c>
      <c r="AL286">
        <f t="shared" si="284"/>
        <v>0.11259702682722932</v>
      </c>
      <c r="AM286" t="str">
        <f t="shared" si="265"/>
        <v>1-0.0145591329159108i</v>
      </c>
      <c r="AN286">
        <f t="shared" si="285"/>
        <v>1.000105978559904</v>
      </c>
      <c r="AO286">
        <f t="shared" si="286"/>
        <v>-1.4558104354921055E-2</v>
      </c>
      <c r="AP286" s="41" t="str">
        <f t="shared" si="287"/>
        <v>3.16476691211335-11.6651993282639i</v>
      </c>
      <c r="AQ286">
        <f t="shared" si="288"/>
        <v>21.646282925050592</v>
      </c>
      <c r="AR286" s="43">
        <f t="shared" si="289"/>
        <v>-74.821031698891701</v>
      </c>
      <c r="AS286" t="str">
        <f t="shared" si="266"/>
        <v>-0.0000166666666666667</v>
      </c>
      <c r="AT286" t="str">
        <f t="shared" si="267"/>
        <v>0.000102248933164291i</v>
      </c>
      <c r="AU286">
        <f t="shared" si="290"/>
        <v>1.02248933164291E-4</v>
      </c>
      <c r="AV286">
        <f t="shared" si="291"/>
        <v>1.5707963267948966</v>
      </c>
      <c r="AW286" t="str">
        <f t="shared" si="268"/>
        <v>1+0.102160482530066i</v>
      </c>
      <c r="AX286">
        <f t="shared" si="292"/>
        <v>1.0052048369316455</v>
      </c>
      <c r="AY286">
        <f t="shared" si="293"/>
        <v>0.10180728337113196</v>
      </c>
      <c r="AZ286" t="str">
        <f t="shared" si="269"/>
        <v>1+3.47345640602223i</v>
      </c>
      <c r="BA286">
        <f t="shared" si="294"/>
        <v>3.6145399990229556</v>
      </c>
      <c r="BB286">
        <f t="shared" si="295"/>
        <v>1.2904792351359751</v>
      </c>
      <c r="BC286" s="41" t="str">
        <f t="shared" si="296"/>
        <v>-0.543848205971981+0.218560680835499i</v>
      </c>
      <c r="BD286">
        <f t="shared" si="297"/>
        <v>-4.6402314082033032</v>
      </c>
      <c r="BE286" s="43">
        <f t="shared" si="298"/>
        <v>158.10588606170361</v>
      </c>
      <c r="BF286" s="41" t="str">
        <f t="shared" si="299"/>
        <v>0.378981742663247+1.53069431568261i</v>
      </c>
      <c r="BG286" s="20">
        <f t="shared" si="300"/>
        <v>3.9561505476948762</v>
      </c>
      <c r="BH286" s="43">
        <f t="shared" si="301"/>
        <v>76.093891329313365</v>
      </c>
      <c r="BI286" s="41" t="str">
        <f t="shared" si="255"/>
        <v>0.828401099794833+7.03579133797903i</v>
      </c>
      <c r="BJ286" s="20">
        <f t="shared" si="302"/>
        <v>17.006051516847283</v>
      </c>
      <c r="BK286" s="43">
        <f t="shared" si="256"/>
        <v>83.284854362811913</v>
      </c>
      <c r="BL286">
        <f t="shared" si="303"/>
        <v>3.9561505476948762</v>
      </c>
      <c r="BM286" s="43">
        <f t="shared" si="304"/>
        <v>76.093891329313365</v>
      </c>
    </row>
    <row r="287" spans="14:65" x14ac:dyDescent="0.25">
      <c r="N287" s="9">
        <v>69</v>
      </c>
      <c r="O287" s="34">
        <f t="shared" si="305"/>
        <v>4897.7881936844633</v>
      </c>
      <c r="P287" s="33" t="str">
        <f t="shared" si="257"/>
        <v>19.6196196196196</v>
      </c>
      <c r="Q287" s="4" t="str">
        <f t="shared" si="258"/>
        <v>1+7.44899387490299i</v>
      </c>
      <c r="R287" s="4">
        <f t="shared" si="270"/>
        <v>7.5158173040822556</v>
      </c>
      <c r="S287" s="4">
        <f t="shared" si="271"/>
        <v>1.4373478647470903</v>
      </c>
      <c r="T287" s="4" t="str">
        <f t="shared" si="259"/>
        <v>1+0.115709152669047i</v>
      </c>
      <c r="U287" s="4">
        <f t="shared" si="272"/>
        <v>1.0066720459073992</v>
      </c>
      <c r="V287" s="4">
        <f t="shared" si="273"/>
        <v>0.11519686686172585</v>
      </c>
      <c r="W287" t="str">
        <f t="shared" si="260"/>
        <v>1-0.0673174924105161i</v>
      </c>
      <c r="X287" s="4">
        <f t="shared" si="274"/>
        <v>1.0022632612165527</v>
      </c>
      <c r="Y287" s="4">
        <f t="shared" si="275"/>
        <v>-6.7216081681355649E-2</v>
      </c>
      <c r="Z287" t="str">
        <f t="shared" si="261"/>
        <v>0.99997601167081+0.045061505123774i</v>
      </c>
      <c r="AA287" s="4">
        <f t="shared" si="276"/>
        <v>1.0009907907473874</v>
      </c>
      <c r="AB287" s="4">
        <f t="shared" si="277"/>
        <v>4.503212129588733E-2</v>
      </c>
      <c r="AC287" s="47" t="str">
        <f t="shared" si="278"/>
        <v>0.357776552344981-2.60676374640216i</v>
      </c>
      <c r="AD287" s="20">
        <f t="shared" si="279"/>
        <v>8.4030821344139675</v>
      </c>
      <c r="AE287" s="43">
        <f t="shared" si="280"/>
        <v>-82.185020346365434</v>
      </c>
      <c r="AF287" t="str">
        <f t="shared" si="262"/>
        <v>72.2956529813786</v>
      </c>
      <c r="AG287" t="str">
        <f t="shared" si="263"/>
        <v>1+6.07473051512496i</v>
      </c>
      <c r="AH287">
        <f t="shared" si="281"/>
        <v>6.1564885146802943</v>
      </c>
      <c r="AI287">
        <f t="shared" si="282"/>
        <v>1.4076432072591045</v>
      </c>
      <c r="AJ287" t="str">
        <f t="shared" si="264"/>
        <v>1+0.115709152669047i</v>
      </c>
      <c r="AK287">
        <f t="shared" si="283"/>
        <v>1.0066720459073992</v>
      </c>
      <c r="AL287">
        <f t="shared" si="284"/>
        <v>0.11519686686172585</v>
      </c>
      <c r="AM287" t="str">
        <f t="shared" si="265"/>
        <v>1-0.0148982586865356i</v>
      </c>
      <c r="AN287">
        <f t="shared" si="285"/>
        <v>1.0001109728984534</v>
      </c>
      <c r="AO287">
        <f t="shared" si="286"/>
        <v>-1.4897156570183234E-2</v>
      </c>
      <c r="AP287" s="41" t="str">
        <f t="shared" si="287"/>
        <v>3.0788081730259-11.4147405507943i</v>
      </c>
      <c r="AQ287">
        <f t="shared" si="288"/>
        <v>21.454306244811278</v>
      </c>
      <c r="AR287" s="43">
        <f t="shared" si="289"/>
        <v>-74.905264750115364</v>
      </c>
      <c r="AS287" t="str">
        <f t="shared" si="266"/>
        <v>-0.0000166666666666667</v>
      </c>
      <c r="AT287" t="str">
        <f t="shared" si="267"/>
        <v>0.000104630616775202i</v>
      </c>
      <c r="AU287">
        <f t="shared" si="290"/>
        <v>1.04630616775202E-4</v>
      </c>
      <c r="AV287">
        <f t="shared" si="291"/>
        <v>1.5707963267948966</v>
      </c>
      <c r="AW287" t="str">
        <f t="shared" si="268"/>
        <v>1+0.104540105861037i</v>
      </c>
      <c r="AX287">
        <f t="shared" si="292"/>
        <v>1.0054494685131803</v>
      </c>
      <c r="AY287">
        <f t="shared" si="293"/>
        <v>0.10416175683986652</v>
      </c>
      <c r="AZ287" t="str">
        <f t="shared" si="269"/>
        <v>1+3.55436359927525i</v>
      </c>
      <c r="BA287">
        <f t="shared" si="294"/>
        <v>3.6923570515123405</v>
      </c>
      <c r="BB287">
        <f t="shared" si="295"/>
        <v>1.2965414743522667</v>
      </c>
      <c r="BC287" s="41" t="str">
        <f t="shared" si="296"/>
        <v>-0.543583595435273+0.216116819156442i</v>
      </c>
      <c r="BD287">
        <f t="shared" si="297"/>
        <v>-4.6573318786586535</v>
      </c>
      <c r="BE287" s="43">
        <f t="shared" si="298"/>
        <v>158.31832539046187</v>
      </c>
      <c r="BF287" s="41" t="str">
        <f t="shared" si="299"/>
        <v>0.368884024478644+1.49431554018116i</v>
      </c>
      <c r="BG287" s="20">
        <f t="shared" si="300"/>
        <v>3.7457502557552944</v>
      </c>
      <c r="BH287" s="43">
        <f t="shared" si="301"/>
        <v>76.133305044096375</v>
      </c>
      <c r="BI287" s="41" t="str">
        <f t="shared" si="255"/>
        <v>0.793327802984794+6.87024793870879i</v>
      </c>
      <c r="BJ287" s="20">
        <f t="shared" si="302"/>
        <v>16.796974366152629</v>
      </c>
      <c r="BK287" s="43">
        <f t="shared" si="256"/>
        <v>83.413060640346501</v>
      </c>
      <c r="BL287">
        <f t="shared" si="303"/>
        <v>3.7457502557552944</v>
      </c>
      <c r="BM287" s="43">
        <f t="shared" si="304"/>
        <v>76.133305044096375</v>
      </c>
    </row>
    <row r="288" spans="14:65" x14ac:dyDescent="0.25">
      <c r="N288" s="9">
        <v>70</v>
      </c>
      <c r="O288" s="34">
        <f t="shared" si="305"/>
        <v>5011.8723362727324</v>
      </c>
      <c r="P288" s="33" t="str">
        <f t="shared" si="257"/>
        <v>19.6196196196196</v>
      </c>
      <c r="Q288" s="4" t="str">
        <f t="shared" si="258"/>
        <v>1+7.6225032317305i</v>
      </c>
      <c r="R288" s="4">
        <f t="shared" si="270"/>
        <v>7.6878186449565717</v>
      </c>
      <c r="S288" s="4">
        <f t="shared" si="271"/>
        <v>1.4403507878292865</v>
      </c>
      <c r="T288" s="4" t="str">
        <f t="shared" si="259"/>
        <v>1+0.11840436506898i</v>
      </c>
      <c r="U288" s="4">
        <f t="shared" si="272"/>
        <v>1.0069853989345567</v>
      </c>
      <c r="V288" s="4">
        <f t="shared" si="273"/>
        <v>0.11785564638495653</v>
      </c>
      <c r="W288" t="str">
        <f t="shared" si="260"/>
        <v>1-0.0688855182415941i</v>
      </c>
      <c r="X288" s="4">
        <f t="shared" si="274"/>
        <v>1.0023697993372571</v>
      </c>
      <c r="Y288" s="4">
        <f t="shared" si="275"/>
        <v>-6.8776868557715823E-2</v>
      </c>
      <c r="Z288" t="str">
        <f t="shared" si="261"/>
        <v>0.999974881135685+0.0461111224147813i</v>
      </c>
      <c r="AA288" s="4">
        <f t="shared" si="276"/>
        <v>1.0010374610935788</v>
      </c>
      <c r="AB288" s="4">
        <f t="shared" si="277"/>
        <v>4.6079638837771636E-2</v>
      </c>
      <c r="AC288" s="47" t="str">
        <f t="shared" si="278"/>
        <v>0.342373240454438-2.55040935677975i</v>
      </c>
      <c r="AD288" s="20">
        <f t="shared" si="279"/>
        <v>8.2097653977966498</v>
      </c>
      <c r="AE288" s="43">
        <f t="shared" si="280"/>
        <v>-82.354183154691512</v>
      </c>
      <c r="AF288" t="str">
        <f t="shared" si="262"/>
        <v>72.2956529813786</v>
      </c>
      <c r="AG288" t="str">
        <f t="shared" si="263"/>
        <v>1+6.21622916612144i</v>
      </c>
      <c r="AH288">
        <f t="shared" si="281"/>
        <v>6.2961500177282037</v>
      </c>
      <c r="AI288">
        <f t="shared" si="282"/>
        <v>1.4112936464893553</v>
      </c>
      <c r="AJ288" t="str">
        <f t="shared" si="264"/>
        <v>1+0.11840436506898i</v>
      </c>
      <c r="AK288">
        <f t="shared" si="283"/>
        <v>1.0069853989345567</v>
      </c>
      <c r="AL288">
        <f t="shared" si="284"/>
        <v>0.11785564638495653</v>
      </c>
      <c r="AM288" t="str">
        <f t="shared" si="265"/>
        <v>1-0.0152452837111178i</v>
      </c>
      <c r="AN288">
        <f t="shared" si="285"/>
        <v>1.0001162025861958</v>
      </c>
      <c r="AO288">
        <f t="shared" si="286"/>
        <v>-1.5244102779580175E-2</v>
      </c>
      <c r="AP288" s="41" t="str">
        <f t="shared" si="287"/>
        <v>2.99651842664219-11.1690920927877i</v>
      </c>
      <c r="AQ288">
        <f t="shared" si="288"/>
        <v>21.262215078754942</v>
      </c>
      <c r="AR288" s="43">
        <f t="shared" si="289"/>
        <v>-74.981961219557377</v>
      </c>
      <c r="AS288" t="str">
        <f t="shared" si="266"/>
        <v>-0.0000166666666666667</v>
      </c>
      <c r="AT288" t="str">
        <f t="shared" si="267"/>
        <v>0.000107067776924077i</v>
      </c>
      <c r="AU288">
        <f t="shared" si="290"/>
        <v>1.07067776924077E-4</v>
      </c>
      <c r="AV288">
        <f t="shared" si="291"/>
        <v>1.5707963267948966</v>
      </c>
      <c r="AW288" t="str">
        <f t="shared" si="268"/>
        <v>1+0.106975157739887i</v>
      </c>
      <c r="AX288">
        <f t="shared" si="292"/>
        <v>1.005705565448195</v>
      </c>
      <c r="AY288">
        <f t="shared" si="293"/>
        <v>0.10656987357436395</v>
      </c>
      <c r="AZ288" t="str">
        <f t="shared" si="269"/>
        <v>1+3.63715536315616i</v>
      </c>
      <c r="BA288">
        <f t="shared" si="294"/>
        <v>3.7721213044831448</v>
      </c>
      <c r="BB288">
        <f t="shared" si="295"/>
        <v>1.3024857693197736</v>
      </c>
      <c r="BC288" s="41" t="str">
        <f t="shared" si="296"/>
        <v>-0.543306790030219+0.21378496691379i</v>
      </c>
      <c r="BD288">
        <f t="shared" si="297"/>
        <v>-4.6739047769693611</v>
      </c>
      <c r="BE288" s="43">
        <f t="shared" si="298"/>
        <v>158.5209334788193</v>
      </c>
      <c r="BF288" s="41" t="str">
        <f t="shared" si="299"/>
        <v>0.359225473692234+1.45884897277776i</v>
      </c>
      <c r="BG288" s="20">
        <f t="shared" si="300"/>
        <v>3.5358606208272865</v>
      </c>
      <c r="BH288" s="43">
        <f t="shared" si="301"/>
        <v>76.16675032412779</v>
      </c>
      <c r="BI288" s="41" t="str">
        <f t="shared" si="255"/>
        <v>0.759755175868322+6.70885416518065i</v>
      </c>
      <c r="BJ288" s="20">
        <f t="shared" si="302"/>
        <v>16.588310301785583</v>
      </c>
      <c r="BK288" s="43">
        <f t="shared" si="256"/>
        <v>83.538972259261911</v>
      </c>
      <c r="BL288">
        <f t="shared" si="303"/>
        <v>3.5358606208272865</v>
      </c>
      <c r="BM288" s="43">
        <f t="shared" si="304"/>
        <v>76.16675032412779</v>
      </c>
    </row>
    <row r="289" spans="14:65" x14ac:dyDescent="0.25">
      <c r="N289" s="9">
        <v>71</v>
      </c>
      <c r="O289" s="34">
        <f t="shared" si="305"/>
        <v>5128.6138399136489</v>
      </c>
      <c r="P289" s="33" t="str">
        <f t="shared" si="257"/>
        <v>19.6196196196196</v>
      </c>
      <c r="Q289" s="4" t="str">
        <f t="shared" si="258"/>
        <v>1+7.8000541406672i</v>
      </c>
      <c r="R289" s="4">
        <f t="shared" si="270"/>
        <v>7.8638950016731242</v>
      </c>
      <c r="S289" s="4">
        <f t="shared" si="271"/>
        <v>1.4432876440695919</v>
      </c>
      <c r="T289" s="4" t="str">
        <f t="shared" si="259"/>
        <v>1+0.121162357030539i</v>
      </c>
      <c r="U289" s="4">
        <f t="shared" si="272"/>
        <v>1.0073134153584948</v>
      </c>
      <c r="V289" s="4">
        <f t="shared" si="273"/>
        <v>0.1205746246743446</v>
      </c>
      <c r="W289" t="str">
        <f t="shared" si="260"/>
        <v>1-0.070490068086251i</v>
      </c>
      <c r="X289" s="4">
        <f t="shared" si="274"/>
        <v>1.002481346309648</v>
      </c>
      <c r="Y289" s="4">
        <f t="shared" si="275"/>
        <v>-7.0373663410221693E-2</v>
      </c>
      <c r="Z289" t="str">
        <f t="shared" si="261"/>
        <v>0.999973697320081+0.0471851884332455i</v>
      </c>
      <c r="AA289" s="4">
        <f t="shared" si="276"/>
        <v>1.0010863286148073</v>
      </c>
      <c r="AB289" s="4">
        <f t="shared" si="277"/>
        <v>4.7151455149220999E-2</v>
      </c>
      <c r="AC289" s="47" t="str">
        <f t="shared" si="278"/>
        <v>0.327636206939646-2.49522855007976i</v>
      </c>
      <c r="AD289" s="20">
        <f t="shared" si="279"/>
        <v>8.0164452924979006</v>
      </c>
      <c r="AE289" s="43">
        <f t="shared" si="280"/>
        <v>-82.519566798584151</v>
      </c>
      <c r="AF289" t="str">
        <f t="shared" si="262"/>
        <v>72.2956529813786</v>
      </c>
      <c r="AG289" t="str">
        <f t="shared" si="263"/>
        <v>1+6.36102374410328i</v>
      </c>
      <c r="AH289">
        <f t="shared" si="281"/>
        <v>6.4391476977194504</v>
      </c>
      <c r="AI289">
        <f t="shared" si="282"/>
        <v>1.4148651392038869</v>
      </c>
      <c r="AJ289" t="str">
        <f t="shared" si="264"/>
        <v>1+0.121162357030539i</v>
      </c>
      <c r="AK289">
        <f t="shared" si="283"/>
        <v>1.0073134153584948</v>
      </c>
      <c r="AL289">
        <f t="shared" si="284"/>
        <v>0.1205746246743446</v>
      </c>
      <c r="AM289" t="str">
        <f t="shared" si="265"/>
        <v>1-0.0156003919869187i</v>
      </c>
      <c r="AN289">
        <f t="shared" si="285"/>
        <v>1.0001216787122182</v>
      </c>
      <c r="AO289">
        <f t="shared" si="286"/>
        <v>-1.5599126604292623E-2</v>
      </c>
      <c r="AP289" s="41" t="str">
        <f t="shared" si="287"/>
        <v>2.91774946918877-10.9282024600285i</v>
      </c>
      <c r="AQ289">
        <f t="shared" si="288"/>
        <v>21.070025138611985</v>
      </c>
      <c r="AR289" s="43">
        <f t="shared" si="289"/>
        <v>-75.051148064874724</v>
      </c>
      <c r="AS289" t="str">
        <f t="shared" si="266"/>
        <v>-0.0000166666666666667</v>
      </c>
      <c r="AT289" t="str">
        <f t="shared" si="267"/>
        <v>0.000109561705825487i</v>
      </c>
      <c r="AU289">
        <f t="shared" si="290"/>
        <v>1.09561705825487E-4</v>
      </c>
      <c r="AV289">
        <f t="shared" si="291"/>
        <v>1.5707963267948966</v>
      </c>
      <c r="AW289" t="str">
        <f t="shared" si="268"/>
        <v>1+0.109466929263355i</v>
      </c>
      <c r="AX289">
        <f t="shared" si="292"/>
        <v>1.005973661982434</v>
      </c>
      <c r="AY289">
        <f t="shared" si="293"/>
        <v>0.10903279861119675</v>
      </c>
      <c r="AZ289" t="str">
        <f t="shared" si="269"/>
        <v>1+3.72187559495405i</v>
      </c>
      <c r="BA289">
        <f t="shared" si="294"/>
        <v>3.8538757043156653</v>
      </c>
      <c r="BB289">
        <f t="shared" si="295"/>
        <v>1.3083135907978027</v>
      </c>
      <c r="BC289" s="41" t="str">
        <f t="shared" si="296"/>
        <v>-0.543017241180994+0.211563707533325i</v>
      </c>
      <c r="BD289">
        <f t="shared" si="297"/>
        <v>-4.6899788499156267</v>
      </c>
      <c r="BE289" s="43">
        <f t="shared" si="298"/>
        <v>158.71372784339846</v>
      </c>
      <c r="BF289" s="41" t="str">
        <f t="shared" si="299"/>
        <v>0.349987693994505+1.42426805404267i</v>
      </c>
      <c r="BG289" s="20">
        <f t="shared" si="300"/>
        <v>3.3264664425822716</v>
      </c>
      <c r="BH289" s="43">
        <f t="shared" si="301"/>
        <v>76.194161044814308</v>
      </c>
      <c r="BI289" s="41" t="str">
        <f t="shared" si="255"/>
        <v>0.727622761902237+6.551492246267i</v>
      </c>
      <c r="BJ289" s="20">
        <f t="shared" si="302"/>
        <v>16.380046288696366</v>
      </c>
      <c r="BK289" s="43">
        <f t="shared" si="256"/>
        <v>83.662579778523721</v>
      </c>
      <c r="BL289">
        <f t="shared" si="303"/>
        <v>3.3264664425822716</v>
      </c>
      <c r="BM289" s="43">
        <f t="shared" si="304"/>
        <v>76.194161044814308</v>
      </c>
    </row>
    <row r="290" spans="14:65" x14ac:dyDescent="0.25">
      <c r="N290" s="9">
        <v>72</v>
      </c>
      <c r="O290" s="34">
        <f t="shared" si="305"/>
        <v>5248.0746024977261</v>
      </c>
      <c r="P290" s="33" t="str">
        <f t="shared" si="257"/>
        <v>19.6196196196196</v>
      </c>
      <c r="Q290" s="4" t="str">
        <f t="shared" si="258"/>
        <v>1+7.98174074155524i</v>
      </c>
      <c r="R290" s="4">
        <f t="shared" si="270"/>
        <v>8.0441398089169738</v>
      </c>
      <c r="S290" s="4">
        <f t="shared" si="271"/>
        <v>1.4461597878743786</v>
      </c>
      <c r="T290" s="4" t="str">
        <f t="shared" si="259"/>
        <v>1+0.123984590877569i</v>
      </c>
      <c r="U290" s="4">
        <f t="shared" si="272"/>
        <v>1.0076567762760682</v>
      </c>
      <c r="V290" s="4">
        <f t="shared" si="273"/>
        <v>0.12335508247389906</v>
      </c>
      <c r="W290" t="str">
        <f t="shared" si="260"/>
        <v>1-0.072131992698054i</v>
      </c>
      <c r="X290" s="4">
        <f t="shared" si="274"/>
        <v>1.0025981370272898</v>
      </c>
      <c r="Y290" s="4">
        <f t="shared" si="275"/>
        <v>-7.2007280290874248E-2</v>
      </c>
      <c r="Z290" t="str">
        <f t="shared" si="261"/>
        <v>0.999972457712967+0.0482842726631871i</v>
      </c>
      <c r="AA290" s="4">
        <f t="shared" si="276"/>
        <v>1.0011374966362636</v>
      </c>
      <c r="AB290" s="4">
        <f t="shared" si="277"/>
        <v>4.8248129015522723E-2</v>
      </c>
      <c r="AC290" s="47" t="str">
        <f t="shared" si="278"/>
        <v>0.313537237917145-2.44120358692103i</v>
      </c>
      <c r="AD290" s="20">
        <f t="shared" si="279"/>
        <v>7.8231353663851291</v>
      </c>
      <c r="AE290" s="43">
        <f t="shared" si="280"/>
        <v>-82.68125415636851</v>
      </c>
      <c r="AF290" t="str">
        <f t="shared" si="262"/>
        <v>72.2956529813786</v>
      </c>
      <c r="AG290" t="str">
        <f t="shared" si="263"/>
        <v>1+6.50919102107239i</v>
      </c>
      <c r="AH290">
        <f t="shared" si="281"/>
        <v>6.5855575123758054</v>
      </c>
      <c r="AI290">
        <f t="shared" si="282"/>
        <v>1.4183592144181765</v>
      </c>
      <c r="AJ290" t="str">
        <f t="shared" si="264"/>
        <v>1+0.123984590877569i</v>
      </c>
      <c r="AK290">
        <f t="shared" si="283"/>
        <v>1.0076567762760682</v>
      </c>
      <c r="AL290">
        <f t="shared" si="284"/>
        <v>0.12335508247389906</v>
      </c>
      <c r="AM290" t="str">
        <f t="shared" si="265"/>
        <v>1-0.0159637717970467i</v>
      </c>
      <c r="AN290">
        <f t="shared" si="285"/>
        <v>1.000127412887972</v>
      </c>
      <c r="AO290">
        <f t="shared" si="286"/>
        <v>-1.5962415924463388E-2</v>
      </c>
      <c r="AP290" s="41" t="str">
        <f t="shared" si="287"/>
        <v>2.84235835903791-10.6920178583099i</v>
      </c>
      <c r="AQ290">
        <f t="shared" si="288"/>
        <v>20.877751975738018</v>
      </c>
      <c r="AR290" s="43">
        <f t="shared" si="289"/>
        <v>-75.112850275714067</v>
      </c>
      <c r="AS290" t="str">
        <f t="shared" si="266"/>
        <v>-0.0000166666666666667</v>
      </c>
      <c r="AT290" t="str">
        <f t="shared" si="267"/>
        <v>0.000112113725793547i</v>
      </c>
      <c r="AU290">
        <f t="shared" si="290"/>
        <v>1.12113725793547E-4</v>
      </c>
      <c r="AV290">
        <f t="shared" si="291"/>
        <v>1.5707963267948966</v>
      </c>
      <c r="AW290" t="str">
        <f t="shared" si="268"/>
        <v>1+0.112016741601684i</v>
      </c>
      <c r="AX290">
        <f t="shared" si="292"/>
        <v>1.0062543169592162</v>
      </c>
      <c r="AY290">
        <f t="shared" si="293"/>
        <v>0.11155171823996121</v>
      </c>
      <c r="AZ290" t="str">
        <f t="shared" si="269"/>
        <v>1+3.80856921445725i</v>
      </c>
      <c r="BA290">
        <f t="shared" si="294"/>
        <v>3.9376642138851192</v>
      </c>
      <c r="BB290">
        <f t="shared" si="295"/>
        <v>1.3140264446679741</v>
      </c>
      <c r="BC290" s="41" t="str">
        <f t="shared" si="296"/>
        <v>-0.542714376913793+0.209451670696429i</v>
      </c>
      <c r="BD290">
        <f t="shared" si="297"/>
        <v>-4.7055822724374679</v>
      </c>
      <c r="BE290" s="43">
        <f t="shared" si="298"/>
        <v>158.89672679547343</v>
      </c>
      <c r="BF290" s="41" t="str">
        <f t="shared" si="299"/>
        <v>0.34115300307525+1.39054718190285i</v>
      </c>
      <c r="BG290" s="20">
        <f t="shared" si="300"/>
        <v>3.1175530939476452</v>
      </c>
      <c r="BH290" s="43">
        <f t="shared" si="301"/>
        <v>76.215472639104917</v>
      </c>
      <c r="BI290" s="41" t="str">
        <f t="shared" si="255"/>
        <v>0.696872257748093+6.39804851694225i</v>
      </c>
      <c r="BJ290" s="20">
        <f t="shared" si="302"/>
        <v>16.172169703300547</v>
      </c>
      <c r="BK290" s="43">
        <f t="shared" si="256"/>
        <v>83.783876519759374</v>
      </c>
      <c r="BL290">
        <f t="shared" si="303"/>
        <v>3.1175530939476452</v>
      </c>
      <c r="BM290" s="43">
        <f t="shared" si="304"/>
        <v>76.215472639104917</v>
      </c>
    </row>
    <row r="291" spans="14:65" x14ac:dyDescent="0.25">
      <c r="N291" s="9">
        <v>73</v>
      </c>
      <c r="O291" s="34">
        <f t="shared" si="305"/>
        <v>5370.3179637025269</v>
      </c>
      <c r="P291" s="33" t="str">
        <f t="shared" si="257"/>
        <v>19.6196196196196</v>
      </c>
      <c r="Q291" s="4" t="str">
        <f t="shared" si="258"/>
        <v>1+8.16765936703525i</v>
      </c>
      <c r="R291" s="4">
        <f t="shared" si="270"/>
        <v>8.2286487065567862</v>
      </c>
      <c r="S291" s="4">
        <f t="shared" si="271"/>
        <v>1.4489685524479003</v>
      </c>
      <c r="T291" s="4" t="str">
        <f t="shared" si="259"/>
        <v>1+0.126872562995813i</v>
      </c>
      <c r="U291" s="4">
        <f t="shared" si="272"/>
        <v>1.008016193937938</v>
      </c>
      <c r="V291" s="4">
        <f t="shared" si="273"/>
        <v>0.12619832196246533</v>
      </c>
      <c r="W291" t="str">
        <f t="shared" si="260"/>
        <v>1-0.0738121626471651i</v>
      </c>
      <c r="X291" s="4">
        <f t="shared" si="274"/>
        <v>1.0027204173420683</v>
      </c>
      <c r="Y291" s="4">
        <f t="shared" si="275"/>
        <v>-7.3678550468274581E-2</v>
      </c>
      <c r="Z291" t="str">
        <f t="shared" si="261"/>
        <v>0.999971159684969+0.0494089578536125i</v>
      </c>
      <c r="AA291" s="4">
        <f t="shared" si="276"/>
        <v>1.0011910733311009</v>
      </c>
      <c r="AB291" s="4">
        <f t="shared" si="277"/>
        <v>4.9370231724966872E-2</v>
      </c>
      <c r="AC291" s="47" t="str">
        <f t="shared" si="278"/>
        <v>0.300049213491673-2.38831661055844i</v>
      </c>
      <c r="AD291" s="20">
        <f t="shared" si="279"/>
        <v>7.6298491924696226</v>
      </c>
      <c r="AE291" s="43">
        <f t="shared" si="280"/>
        <v>-82.839327366259823</v>
      </c>
      <c r="AF291" t="str">
        <f t="shared" si="262"/>
        <v>72.2956529813786</v>
      </c>
      <c r="AG291" t="str">
        <f t="shared" si="263"/>
        <v>1+6.66080955728017i</v>
      </c>
      <c r="AH291">
        <f t="shared" si="281"/>
        <v>6.7354572196959923</v>
      </c>
      <c r="AI291">
        <f t="shared" si="282"/>
        <v>1.4217773833008849</v>
      </c>
      <c r="AJ291" t="str">
        <f t="shared" si="264"/>
        <v>1+0.126872562995813i</v>
      </c>
      <c r="AK291">
        <f t="shared" si="283"/>
        <v>1.008016193937938</v>
      </c>
      <c r="AL291">
        <f t="shared" si="284"/>
        <v>0.12619832196246533</v>
      </c>
      <c r="AM291" t="str">
        <f t="shared" si="265"/>
        <v>1-0.016335615810287i</v>
      </c>
      <c r="AN291">
        <f t="shared" si="285"/>
        <v>1.0001334172718666</v>
      </c>
      <c r="AO291">
        <f t="shared" si="286"/>
        <v>-1.6334162977105722E-2</v>
      </c>
      <c r="AP291" s="41" t="str">
        <f t="shared" si="287"/>
        <v>2.7702072937049-10.4604824422111i</v>
      </c>
      <c r="AQ291">
        <f t="shared" si="288"/>
        <v>20.685411006108247</v>
      </c>
      <c r="AR291" s="43">
        <f t="shared" si="289"/>
        <v>-75.167090840679293</v>
      </c>
      <c r="AS291" t="str">
        <f t="shared" si="266"/>
        <v>-0.0000166666666666667</v>
      </c>
      <c r="AT291" t="str">
        <f t="shared" si="267"/>
        <v>0.000114725189943022i</v>
      </c>
      <c r="AU291">
        <f t="shared" si="290"/>
        <v>1.14725189943022E-4</v>
      </c>
      <c r="AV291">
        <f t="shared" si="291"/>
        <v>1.5707963267948966</v>
      </c>
      <c r="AW291" t="str">
        <f t="shared" si="268"/>
        <v>1+0.114625946699127i</v>
      </c>
      <c r="AX291">
        <f t="shared" si="292"/>
        <v>1.0065481149238078</v>
      </c>
      <c r="AY291">
        <f t="shared" si="293"/>
        <v>0.11412784009631555</v>
      </c>
      <c r="AZ291" t="str">
        <f t="shared" si="269"/>
        <v>1+3.89728218777031i</v>
      </c>
      <c r="BA291">
        <f t="shared" si="294"/>
        <v>4.02353183796422</v>
      </c>
      <c r="BB291">
        <f t="shared" si="295"/>
        <v>1.3196258677581385</v>
      </c>
      <c r="BC291" s="41" t="str">
        <f t="shared" si="296"/>
        <v>-0.542397600981276+0.207447530787917i</v>
      </c>
      <c r="BD291">
        <f t="shared" si="297"/>
        <v>-4.7207426677735747</v>
      </c>
      <c r="BE291" s="43">
        <f t="shared" si="298"/>
        <v>159.06994919636745</v>
      </c>
      <c r="BF291" s="41" t="str">
        <f t="shared" si="299"/>
        <v>0.332704410025913+1.35766166840433i</v>
      </c>
      <c r="BG291" s="20">
        <f t="shared" si="300"/>
        <v>2.9091065246960222</v>
      </c>
      <c r="BH291" s="43">
        <f t="shared" si="301"/>
        <v>76.230621830107594</v>
      </c>
      <c r="BI291" s="41" t="str">
        <f t="shared" si="255"/>
        <v>0.667447463160681+6.24841324461182i</v>
      </c>
      <c r="BJ291" s="20">
        <f t="shared" si="302"/>
        <v>15.964668338334674</v>
      </c>
      <c r="BK291" s="43">
        <f t="shared" si="256"/>
        <v>83.902858355688167</v>
      </c>
      <c r="BL291">
        <f t="shared" si="303"/>
        <v>2.9091065246960222</v>
      </c>
      <c r="BM291" s="43">
        <f t="shared" si="304"/>
        <v>76.230621830107594</v>
      </c>
    </row>
    <row r="292" spans="14:65" x14ac:dyDescent="0.25">
      <c r="N292" s="9">
        <v>74</v>
      </c>
      <c r="O292" s="34">
        <f t="shared" si="305"/>
        <v>5495.4087385762541</v>
      </c>
      <c r="P292" s="33" t="str">
        <f t="shared" si="257"/>
        <v>19.6196196196196</v>
      </c>
      <c r="Q292" s="4" t="str">
        <f t="shared" si="258"/>
        <v>1+8.35790859362344i</v>
      </c>
      <c r="R292" s="4">
        <f t="shared" si="270"/>
        <v>8.4175195906730487</v>
      </c>
      <c r="S292" s="4">
        <f t="shared" si="271"/>
        <v>1.4517152496691599</v>
      </c>
      <c r="T292" s="4" t="str">
        <f t="shared" si="259"/>
        <v>1+0.129827804626314i</v>
      </c>
      <c r="U292" s="4">
        <f t="shared" si="272"/>
        <v>1.0083924131279889</v>
      </c>
      <c r="V292" s="4">
        <f t="shared" si="273"/>
        <v>0.12910566668682491</v>
      </c>
      <c r="W292" t="str">
        <f t="shared" si="260"/>
        <v>1-0.0755314687819313i</v>
      </c>
      <c r="X292" s="4">
        <f t="shared" si="274"/>
        <v>1.0028484445699439</v>
      </c>
      <c r="Y292" s="4">
        <f t="shared" si="275"/>
        <v>-7.5388322706274047E-2</v>
      </c>
      <c r="Z292" t="str">
        <f t="shared" si="261"/>
        <v>0.999969800482796+0.0505598403274969i</v>
      </c>
      <c r="AA292" s="4">
        <f t="shared" si="276"/>
        <v>1.0012471719468401</v>
      </c>
      <c r="AB292" s="4">
        <f t="shared" si="277"/>
        <v>5.0518347323719362E-2</v>
      </c>
      <c r="AC292" s="47" t="str">
        <f t="shared" si="278"/>
        <v>0.287146072036905-2.33654968176841i</v>
      </c>
      <c r="AD292" s="20">
        <f t="shared" si="279"/>
        <v>7.436600392712327</v>
      </c>
      <c r="AE292" s="43">
        <f t="shared" si="280"/>
        <v>-82.993867853710512</v>
      </c>
      <c r="AF292" t="str">
        <f t="shared" si="262"/>
        <v>72.2956529813786</v>
      </c>
      <c r="AG292" t="str">
        <f t="shared" si="263"/>
        <v>1+6.81595974288148i</v>
      </c>
      <c r="AH292">
        <f t="shared" si="281"/>
        <v>6.8889264197392155</v>
      </c>
      <c r="AI292">
        <f t="shared" si="282"/>
        <v>1.4251211385457676</v>
      </c>
      <c r="AJ292" t="str">
        <f t="shared" si="264"/>
        <v>1+0.129827804626314i</v>
      </c>
      <c r="AK292">
        <f t="shared" si="283"/>
        <v>1.0083924131279889</v>
      </c>
      <c r="AL292">
        <f t="shared" si="284"/>
        <v>0.12910566668682491</v>
      </c>
      <c r="AM292" t="str">
        <f t="shared" si="265"/>
        <v>1-0.0167161211832574i</v>
      </c>
      <c r="AN292">
        <f t="shared" si="285"/>
        <v>1.0001397045950198</v>
      </c>
      <c r="AO292">
        <f t="shared" si="286"/>
        <v>-1.6714564456200537E-2</v>
      </c>
      <c r="AP292" s="41" t="str">
        <f t="shared" si="287"/>
        <v>2.70116348359367-10.2335385487772i</v>
      </c>
      <c r="AQ292">
        <f t="shared" si="288"/>
        <v>20.493017535322785</v>
      </c>
      <c r="AR292" s="43">
        <f t="shared" si="289"/>
        <v>-75.213890720913042</v>
      </c>
      <c r="AS292" t="str">
        <f t="shared" si="266"/>
        <v>-0.0000166666666666667</v>
      </c>
      <c r="AT292" t="str">
        <f t="shared" si="267"/>
        <v>0.000117397482906773i</v>
      </c>
      <c r="AU292">
        <f t="shared" si="290"/>
        <v>1.17397482906773E-4</v>
      </c>
      <c r="AV292">
        <f t="shared" si="291"/>
        <v>1.5707963267948966</v>
      </c>
      <c r="AW292" t="str">
        <f t="shared" si="268"/>
        <v>1+0.117295927990764i</v>
      </c>
      <c r="AX292">
        <f t="shared" si="292"/>
        <v>1.0068556672747164</v>
      </c>
      <c r="AY292">
        <f t="shared" si="293"/>
        <v>0.11676239323065597</v>
      </c>
      <c r="AZ292" t="str">
        <f t="shared" si="269"/>
        <v>1+3.98806155168597i</v>
      </c>
      <c r="BA292">
        <f t="shared" si="294"/>
        <v>4.1115246490852888</v>
      </c>
      <c r="BB292">
        <f t="shared" si="295"/>
        <v>1.325113423876161</v>
      </c>
      <c r="BC292" s="41" t="str">
        <f t="shared" si="296"/>
        <v>-0.542066291966246+0.205550005315529i</v>
      </c>
      <c r="BD292">
        <f t="shared" si="297"/>
        <v>-4.7354871289933929</v>
      </c>
      <c r="BE292" s="43">
        <f t="shared" si="298"/>
        <v>159.2334142262707</v>
      </c>
      <c r="BF292" s="41" t="str">
        <f t="shared" si="299"/>
        <v>0.324625592985777+1.32558769862463i</v>
      </c>
      <c r="BG292" s="20">
        <f t="shared" si="300"/>
        <v>2.7011132637189155</v>
      </c>
      <c r="BH292" s="43">
        <f t="shared" si="301"/>
        <v>76.239546372560142</v>
      </c>
      <c r="BI292" s="41" t="str">
        <f t="shared" si="255"/>
        <v>0.639294229551576+6.10248046324009i</v>
      </c>
      <c r="BJ292" s="20">
        <f t="shared" si="302"/>
        <v>15.757530406329396</v>
      </c>
      <c r="BK292" s="43">
        <f t="shared" si="256"/>
        <v>84.019523505357654</v>
      </c>
      <c r="BL292">
        <f t="shared" si="303"/>
        <v>2.7011132637189155</v>
      </c>
      <c r="BM292" s="43">
        <f t="shared" si="304"/>
        <v>76.239546372560142</v>
      </c>
    </row>
    <row r="293" spans="14:65" x14ac:dyDescent="0.25">
      <c r="N293" s="9">
        <v>75</v>
      </c>
      <c r="O293" s="34">
        <f t="shared" si="305"/>
        <v>5623.4132519034993</v>
      </c>
      <c r="P293" s="33" t="str">
        <f t="shared" si="257"/>
        <v>19.6196196196196</v>
      </c>
      <c r="Q293" s="4" t="str">
        <f t="shared" si="258"/>
        <v>1+8.55258929397796i</v>
      </c>
      <c r="R293" s="4">
        <f t="shared" si="270"/>
        <v>8.6108526657623408</v>
      </c>
      <c r="S293" s="4">
        <f t="shared" si="271"/>
        <v>1.454401170008135</v>
      </c>
      <c r="T293" s="4" t="str">
        <f t="shared" si="259"/>
        <v>1+0.132851882677302i</v>
      </c>
      <c r="U293" s="4">
        <f t="shared" si="272"/>
        <v>1.0087862125995297</v>
      </c>
      <c r="V293" s="4">
        <f t="shared" si="273"/>
        <v>0.13207846145678742</v>
      </c>
      <c r="W293" t="str">
        <f t="shared" si="260"/>
        <v>1-0.0772908227012228i</v>
      </c>
      <c r="X293" s="4">
        <f t="shared" si="274"/>
        <v>1.0029824880195226</v>
      </c>
      <c r="Y293" s="4">
        <f t="shared" si="275"/>
        <v>-7.7137463540651485E-2</v>
      </c>
      <c r="Z293" t="str">
        <f t="shared" si="261"/>
        <v>0.999968377223398+0.0517375302979614i</v>
      </c>
      <c r="AA293" s="4">
        <f t="shared" si="276"/>
        <v>1.0013059110422391</v>
      </c>
      <c r="AB293" s="4">
        <f t="shared" si="277"/>
        <v>5.1693072874066673E-2</v>
      </c>
      <c r="AC293" s="47" t="str">
        <f t="shared" si="278"/>
        <v>0.274802774934787-2.28588481116208i</v>
      </c>
      <c r="AD293" s="20">
        <f t="shared" si="279"/>
        <v>7.2434026619216505</v>
      </c>
      <c r="AE293" s="43">
        <f t="shared" si="280"/>
        <v>-83.144956363269642</v>
      </c>
      <c r="AF293" t="str">
        <f t="shared" si="262"/>
        <v>72.2956529813786</v>
      </c>
      <c r="AG293" t="str">
        <f t="shared" si="263"/>
        <v>1+6.97472384055834i</v>
      </c>
      <c r="AH293">
        <f t="shared" si="281"/>
        <v>7.0460465973517996</v>
      </c>
      <c r="AI293">
        <f t="shared" si="282"/>
        <v>1.4283919538168539</v>
      </c>
      <c r="AJ293" t="str">
        <f t="shared" si="264"/>
        <v>1+0.132851882677302i</v>
      </c>
      <c r="AK293">
        <f t="shared" si="283"/>
        <v>1.0087862125995297</v>
      </c>
      <c r="AL293">
        <f t="shared" si="284"/>
        <v>0.13207846145678742</v>
      </c>
      <c r="AM293" t="str">
        <f t="shared" si="265"/>
        <v>1-0.0171054896649432i</v>
      </c>
      <c r="AN293">
        <f t="shared" si="285"/>
        <v>1.0001462881882217</v>
      </c>
      <c r="AO293">
        <f t="shared" si="286"/>
        <v>-1.7103821615025713E-2</v>
      </c>
      <c r="AP293" s="41" t="str">
        <f t="shared" si="287"/>
        <v>2.63509902326387-10.0111269167228i</v>
      </c>
      <c r="AQ293">
        <f t="shared" si="288"/>
        <v>20.300586783622148</v>
      </c>
      <c r="AR293" s="43">
        <f t="shared" si="289"/>
        <v>-75.253268830181767</v>
      </c>
      <c r="AS293" t="str">
        <f t="shared" si="266"/>
        <v>-0.0000166666666666667</v>
      </c>
      <c r="AT293" t="str">
        <f t="shared" si="267"/>
        <v>0.000120132021569901i</v>
      </c>
      <c r="AU293">
        <f t="shared" si="290"/>
        <v>1.20132021569901E-4</v>
      </c>
      <c r="AV293">
        <f t="shared" si="291"/>
        <v>1.5707963267948966</v>
      </c>
      <c r="AW293" t="str">
        <f t="shared" si="268"/>
        <v>1+0.120028101136017i</v>
      </c>
      <c r="AX293">
        <f t="shared" si="292"/>
        <v>1.0071776134636423</v>
      </c>
      <c r="AY293">
        <f t="shared" si="293"/>
        <v>0.11945662815023361</v>
      </c>
      <c r="AZ293" t="str">
        <f t="shared" si="269"/>
        <v>1+4.08095543862456i</v>
      </c>
      <c r="BA293">
        <f t="shared" si="294"/>
        <v>4.201689813877195</v>
      </c>
      <c r="BB293">
        <f t="shared" si="295"/>
        <v>1.33049070005048</v>
      </c>
      <c r="BC293" s="41" t="str">
        <f t="shared" si="296"/>
        <v>-0.541719802365398+0.20375785329738i</v>
      </c>
      <c r="BD293">
        <f t="shared" si="297"/>
        <v>-4.7498422417935577</v>
      </c>
      <c r="BE293" s="43">
        <f t="shared" si="298"/>
        <v>159.3871411664268</v>
      </c>
      <c r="BF293" s="41" t="str">
        <f t="shared" si="299"/>
        <v>0.316900877080337+1.29430229163366i</v>
      </c>
      <c r="BG293" s="20">
        <f t="shared" si="300"/>
        <v>2.493560420128079</v>
      </c>
      <c r="BH293" s="43">
        <f t="shared" si="301"/>
        <v>76.24218480315713</v>
      </c>
      <c r="BI293" s="41" t="str">
        <f t="shared" si="255"/>
        <v>0.6123604075433+5.96014781498826i</v>
      </c>
      <c r="BJ293" s="20">
        <f t="shared" si="302"/>
        <v>15.550744541828589</v>
      </c>
      <c r="BK293" s="43">
        <f t="shared" si="256"/>
        <v>84.133872336245048</v>
      </c>
      <c r="BL293">
        <f t="shared" si="303"/>
        <v>2.493560420128079</v>
      </c>
      <c r="BM293" s="43">
        <f t="shared" si="304"/>
        <v>76.24218480315713</v>
      </c>
    </row>
    <row r="294" spans="14:65" x14ac:dyDescent="0.25">
      <c r="N294" s="9">
        <v>76</v>
      </c>
      <c r="O294" s="34">
        <f t="shared" si="305"/>
        <v>5754.399373371567</v>
      </c>
      <c r="P294" s="33" t="str">
        <f t="shared" si="257"/>
        <v>19.6196196196196</v>
      </c>
      <c r="Q294" s="4" t="str">
        <f t="shared" si="258"/>
        <v>1+8.75180469038303i</v>
      </c>
      <c r="R294" s="4">
        <f t="shared" si="270"/>
        <v>8.8087504981473064</v>
      </c>
      <c r="S294" s="4">
        <f t="shared" si="271"/>
        <v>1.4570275824784369</v>
      </c>
      <c r="T294" s="4" t="str">
        <f t="shared" si="259"/>
        <v>1+0.135946400554987i</v>
      </c>
      <c r="U294" s="4">
        <f t="shared" si="272"/>
        <v>1.0091984065702129</v>
      </c>
      <c r="V294" s="4">
        <f t="shared" si="273"/>
        <v>0.13511807219923863</v>
      </c>
      <c r="W294" t="str">
        <f t="shared" si="260"/>
        <v>1-0.0790911572377754i</v>
      </c>
      <c r="X294" s="4">
        <f t="shared" si="274"/>
        <v>1.0031228295444234</v>
      </c>
      <c r="Y294" s="4">
        <f t="shared" si="275"/>
        <v>-7.892685755320758E-2</v>
      </c>
      <c r="Z294" t="str">
        <f t="shared" si="261"/>
        <v>0.999966886887852+0.052942652191817i</v>
      </c>
      <c r="AA294" s="4">
        <f t="shared" si="276"/>
        <v>1.0013674147351141</v>
      </c>
      <c r="AB294" s="4">
        <f t="shared" si="277"/>
        <v>5.2895018715936569E-2</v>
      </c>
      <c r="AC294" s="47" t="str">
        <f t="shared" si="278"/>
        <v>0.262995271839822-2.23630398906626i</v>
      </c>
      <c r="AD294" s="20">
        <f t="shared" si="279"/>
        <v>7.0502697917550536</v>
      </c>
      <c r="AE294" s="43">
        <f t="shared" si="280"/>
        <v>-83.292672994921276</v>
      </c>
      <c r="AF294" t="str">
        <f t="shared" si="262"/>
        <v>72.2956529813786</v>
      </c>
      <c r="AG294" t="str">
        <f t="shared" si="263"/>
        <v>1+7.13718602913685i</v>
      </c>
      <c r="AH294">
        <f t="shared" si="281"/>
        <v>7.2069011658622202</v>
      </c>
      <c r="AI294">
        <f t="shared" si="282"/>
        <v>1.4315912832623194</v>
      </c>
      <c r="AJ294" t="str">
        <f t="shared" si="264"/>
        <v>1+0.135946400554987i</v>
      </c>
      <c r="AK294">
        <f t="shared" si="283"/>
        <v>1.0091984065702129</v>
      </c>
      <c r="AL294">
        <f t="shared" si="284"/>
        <v>0.13511807219923863</v>
      </c>
      <c r="AM294" t="str">
        <f t="shared" si="265"/>
        <v>1-0.0175039277036672i</v>
      </c>
      <c r="AN294">
        <f t="shared" si="285"/>
        <v>1.0001531820101635</v>
      </c>
      <c r="AO294">
        <f t="shared" si="286"/>
        <v>-1.7502140370762986E-2</v>
      </c>
      <c r="AP294" s="41" t="str">
        <f t="shared" si="287"/>
        <v>2.57189076091835-9.79318689177718i</v>
      </c>
      <c r="AQ294">
        <f t="shared" si="288"/>
        <v>20.108133910910478</v>
      </c>
      <c r="AR294" s="43">
        <f t="shared" si="289"/>
        <v>-75.285242021378338</v>
      </c>
      <c r="AS294" t="str">
        <f t="shared" si="266"/>
        <v>-0.0000166666666666667</v>
      </c>
      <c r="AT294" t="str">
        <f t="shared" si="267"/>
        <v>0.000122930255821i</v>
      </c>
      <c r="AU294">
        <f t="shared" si="290"/>
        <v>1.2293025582100001E-4</v>
      </c>
      <c r="AV294">
        <f t="shared" si="291"/>
        <v>1.5707963267948966</v>
      </c>
      <c r="AW294" t="str">
        <f t="shared" si="268"/>
        <v>1+0.122823914769251i</v>
      </c>
      <c r="AX294">
        <f t="shared" si="292"/>
        <v>1.0075146222458731</v>
      </c>
      <c r="AY294">
        <f t="shared" si="293"/>
        <v>0.12221181683236879</v>
      </c>
      <c r="AZ294" t="str">
        <f t="shared" si="269"/>
        <v>1+4.17601310215454i</v>
      </c>
      <c r="BA294">
        <f t="shared" si="294"/>
        <v>4.2940756198938077</v>
      </c>
      <c r="BB294">
        <f t="shared" si="295"/>
        <v>1.3357593029736787</v>
      </c>
      <c r="BC294" s="41" t="str">
        <f t="shared" si="296"/>
        <v>-0.541357457654104+0.202069873613437i</v>
      </c>
      <c r="BD294">
        <f t="shared" si="297"/>
        <v>-4.7638341084391369</v>
      </c>
      <c r="BE294" s="43">
        <f t="shared" si="298"/>
        <v>159.53114919460782</v>
      </c>
      <c r="BF294" s="41" t="str">
        <f t="shared" si="299"/>
        <v>0.309515212693588+1.26378326340425i</v>
      </c>
      <c r="BG294" s="20">
        <f t="shared" si="300"/>
        <v>2.286435683315942</v>
      </c>
      <c r="BH294" s="43">
        <f t="shared" si="301"/>
        <v>76.238476199686602</v>
      </c>
      <c r="BI294" s="41" t="str">
        <f t="shared" si="255"/>
        <v>0.586595793799346+5.82131639907033i</v>
      </c>
      <c r="BJ294" s="20">
        <f t="shared" si="302"/>
        <v>15.344299802471337</v>
      </c>
      <c r="BK294" s="43">
        <f t="shared" si="256"/>
        <v>84.245907173229497</v>
      </c>
      <c r="BL294">
        <f t="shared" si="303"/>
        <v>2.286435683315942</v>
      </c>
      <c r="BM294" s="43">
        <f t="shared" si="304"/>
        <v>76.238476199686602</v>
      </c>
    </row>
    <row r="295" spans="14:65" x14ac:dyDescent="0.25">
      <c r="N295" s="9">
        <v>77</v>
      </c>
      <c r="O295" s="34">
        <f t="shared" si="305"/>
        <v>5888.4365535558973</v>
      </c>
      <c r="P295" s="33" t="str">
        <f t="shared" si="257"/>
        <v>19.6196196196196</v>
      </c>
      <c r="Q295" s="4" t="str">
        <f t="shared" si="258"/>
        <v>1+8.95566040947881i</v>
      </c>
      <c r="R295" s="4">
        <f t="shared" si="270"/>
        <v>9.0113180706213107</v>
      </c>
      <c r="S295" s="4">
        <f t="shared" si="271"/>
        <v>1.4595957346236212</v>
      </c>
      <c r="T295" s="4" t="str">
        <f t="shared" si="259"/>
        <v>1+0.139112999013711i</v>
      </c>
      <c r="U295" s="4">
        <f t="shared" si="272"/>
        <v>1.009629846277629</v>
      </c>
      <c r="V295" s="4">
        <f t="shared" si="273"/>
        <v>0.13822588576795922</v>
      </c>
      <c r="W295" t="str">
        <f t="shared" si="260"/>
        <v>1-0.080933426952791i</v>
      </c>
      <c r="X295" s="4">
        <f t="shared" si="274"/>
        <v>1.0032697641204595</v>
      </c>
      <c r="Y295" s="4">
        <f t="shared" si="275"/>
        <v>-8.0757407642606763E-2</v>
      </c>
      <c r="Z295" t="str">
        <f t="shared" si="261"/>
        <v>0.999965326314955+0.0541758449806437i</v>
      </c>
      <c r="AA295" s="4">
        <f t="shared" si="276"/>
        <v>1.001431812961592</v>
      </c>
      <c r="AB295" s="4">
        <f t="shared" si="277"/>
        <v>5.4124808731577413E-2</v>
      </c>
      <c r="AC295" s="47" t="str">
        <f t="shared" si="278"/>
        <v>0.251700466525484-2.18778921310752i</v>
      </c>
      <c r="AD295" s="20">
        <f t="shared" si="279"/>
        <v>6.8572156948375573</v>
      </c>
      <c r="AE295" s="43">
        <f t="shared" si="280"/>
        <v>-83.437097244880036</v>
      </c>
      <c r="AF295" t="str">
        <f t="shared" si="262"/>
        <v>72.2956529813786</v>
      </c>
      <c r="AG295" t="str">
        <f t="shared" si="263"/>
        <v>1+7.30343244821986i</v>
      </c>
      <c r="AH295">
        <f t="shared" si="281"/>
        <v>7.3715755117688877</v>
      </c>
      <c r="AI295">
        <f t="shared" si="282"/>
        <v>1.4347205610926581</v>
      </c>
      <c r="AJ295" t="str">
        <f t="shared" si="264"/>
        <v>1+0.139112999013711i</v>
      </c>
      <c r="AK295">
        <f t="shared" si="283"/>
        <v>1.009629846277629</v>
      </c>
      <c r="AL295">
        <f t="shared" si="284"/>
        <v>0.13822588576795922</v>
      </c>
      <c r="AM295" t="str">
        <f t="shared" si="265"/>
        <v>1-0.0179116465565516i</v>
      </c>
      <c r="AN295">
        <f t="shared" si="285"/>
        <v>1.0001604006769949</v>
      </c>
      <c r="AO295">
        <f t="shared" si="286"/>
        <v>-1.7909731411427963E-2</v>
      </c>
      <c r="AP295" s="41" t="str">
        <f t="shared" si="287"/>
        <v>2.51142016674311-9.57965661878879i</v>
      </c>
      <c r="AQ295">
        <f t="shared" si="288"/>
        <v>19.91567404178836</v>
      </c>
      <c r="AR295" s="43">
        <f t="shared" si="289"/>
        <v>-75.309825079376893</v>
      </c>
      <c r="AS295" t="str">
        <f t="shared" si="266"/>
        <v>-0.0000166666666666667</v>
      </c>
      <c r="AT295" t="str">
        <f t="shared" si="267"/>
        <v>0.000125793669320909i</v>
      </c>
      <c r="AU295">
        <f t="shared" si="290"/>
        <v>1.2579366932090899E-4</v>
      </c>
      <c r="AV295">
        <f t="shared" si="291"/>
        <v>1.5707963267948966</v>
      </c>
      <c r="AW295" t="str">
        <f t="shared" si="268"/>
        <v>1+0.125684851267864i</v>
      </c>
      <c r="AX295">
        <f t="shared" si="292"/>
        <v>1.0078673929829385</v>
      </c>
      <c r="AY295">
        <f t="shared" si="293"/>
        <v>0.12502925270628024</v>
      </c>
      <c r="AZ295" t="str">
        <f t="shared" si="269"/>
        <v>1+4.27328494310736i</v>
      </c>
      <c r="BA295">
        <f t="shared" si="294"/>
        <v>4.3887315029502618</v>
      </c>
      <c r="BB295">
        <f t="shared" si="295"/>
        <v>1.3409208556446326</v>
      </c>
      <c r="BC295" s="41" t="str">
        <f t="shared" si="296"/>
        <v>-0.540978555333386+0.200484903317025i</v>
      </c>
      <c r="BD295">
        <f t="shared" si="297"/>
        <v>-4.7774883727379889</v>
      </c>
      <c r="BE295" s="43">
        <f t="shared" si="298"/>
        <v>159.6654571937641</v>
      </c>
      <c r="BF295" s="41" t="str">
        <f t="shared" si="299"/>
        <v>0.302454154110196+1.23400919157708i</v>
      </c>
      <c r="BG295" s="20">
        <f t="shared" si="300"/>
        <v>2.0797273220995449</v>
      </c>
      <c r="BH295" s="43">
        <f t="shared" si="301"/>
        <v>76.228359948883991</v>
      </c>
      <c r="BI295" s="41" t="str">
        <f t="shared" si="255"/>
        <v>0.56195207738835+5.68589062754019i</v>
      </c>
      <c r="BJ295" s="20">
        <f t="shared" si="302"/>
        <v>15.138185669050372</v>
      </c>
      <c r="BK295" s="43">
        <f t="shared" si="256"/>
        <v>84.355632114387205</v>
      </c>
      <c r="BL295">
        <f t="shared" si="303"/>
        <v>2.0797273220995449</v>
      </c>
      <c r="BM295" s="43">
        <f t="shared" si="304"/>
        <v>76.228359948883991</v>
      </c>
    </row>
    <row r="296" spans="14:65" x14ac:dyDescent="0.25">
      <c r="N296" s="9">
        <v>78</v>
      </c>
      <c r="O296" s="34">
        <f t="shared" si="305"/>
        <v>6025.595860743585</v>
      </c>
      <c r="P296" s="33" t="str">
        <f t="shared" si="257"/>
        <v>19.6196196196196</v>
      </c>
      <c r="Q296" s="4" t="str">
        <f t="shared" si="258"/>
        <v>1+9.16426453826585i</v>
      </c>
      <c r="R296" s="4">
        <f t="shared" si="270"/>
        <v>9.2186628383576874</v>
      </c>
      <c r="S296" s="4">
        <f t="shared" si="271"/>
        <v>1.4621068525345366</v>
      </c>
      <c r="T296" s="4" t="str">
        <f t="shared" si="259"/>
        <v>1+0.14235335702589i</v>
      </c>
      <c r="U296" s="4">
        <f t="shared" si="272"/>
        <v>1.0100814215975564</v>
      </c>
      <c r="V296" s="4">
        <f t="shared" si="273"/>
        <v>0.14140330970581991</v>
      </c>
      <c r="W296" t="str">
        <f t="shared" si="260"/>
        <v>1-0.0828186086420573i</v>
      </c>
      <c r="X296" s="4">
        <f t="shared" si="274"/>
        <v>1.0034236004486869</v>
      </c>
      <c r="Y296" s="4">
        <f t="shared" si="275"/>
        <v>-8.2630035291245019E-2</v>
      </c>
      <c r="Z296" t="str">
        <f t="shared" si="261"/>
        <v>0.999963692194523+0.0554377625195812i</v>
      </c>
      <c r="AA296" s="4">
        <f t="shared" si="276"/>
        <v>1.0014992417473316</v>
      </c>
      <c r="AB296" s="4">
        <f t="shared" si="277"/>
        <v>5.538308061326596E-2</v>
      </c>
      <c r="AC296" s="47" t="str">
        <f t="shared" si="278"/>
        <v>0.240896183361385-2.14032251362967i</v>
      </c>
      <c r="AD296" s="20">
        <f t="shared" si="279"/>
        <v>6.6642544290103221</v>
      </c>
      <c r="AE296" s="43">
        <f t="shared" si="280"/>
        <v>-83.578308050839169</v>
      </c>
      <c r="AF296" t="str">
        <f t="shared" si="262"/>
        <v>72.2956529813786</v>
      </c>
      <c r="AG296" t="str">
        <f t="shared" si="263"/>
        <v>1+7.47355124385925i</v>
      </c>
      <c r="AH296">
        <f t="shared" si="281"/>
        <v>7.5401570404461831</v>
      </c>
      <c r="AI296">
        <f t="shared" si="282"/>
        <v>1.4377812012189577</v>
      </c>
      <c r="AJ296" t="str">
        <f t="shared" si="264"/>
        <v>1+0.14235335702589i</v>
      </c>
      <c r="AK296">
        <f t="shared" si="283"/>
        <v>1.0100814215975564</v>
      </c>
      <c r="AL296">
        <f t="shared" si="284"/>
        <v>0.14140330970581991</v>
      </c>
      <c r="AM296" t="str">
        <f t="shared" si="265"/>
        <v>1-0.018328862401529i</v>
      </c>
      <c r="AN296">
        <f t="shared" si="285"/>
        <v>1.0001679594932713</v>
      </c>
      <c r="AO296">
        <f t="shared" si="286"/>
        <v>-1.8326810305168469E-2</v>
      </c>
      <c r="AP296" s="41" t="str">
        <f t="shared" si="287"/>
        <v>2.45357320066779-9.37047322119684i</v>
      </c>
      <c r="AQ296">
        <f t="shared" si="288"/>
        <v>19.72322229059515</v>
      </c>
      <c r="AR296" s="43">
        <f t="shared" si="289"/>
        <v>-75.327030720194344</v>
      </c>
      <c r="AS296" t="str">
        <f t="shared" si="266"/>
        <v>-0.0000166666666666667</v>
      </c>
      <c r="AT296" t="str">
        <f t="shared" si="267"/>
        <v>0.000128723780289369i</v>
      </c>
      <c r="AU296">
        <f t="shared" si="290"/>
        <v>1.28723780289369E-4</v>
      </c>
      <c r="AV296">
        <f t="shared" si="291"/>
        <v>1.5707963267948966</v>
      </c>
      <c r="AW296" t="str">
        <f t="shared" si="268"/>
        <v>1+0.128612427538254i</v>
      </c>
      <c r="AX296">
        <f t="shared" si="292"/>
        <v>1.0082366569993786</v>
      </c>
      <c r="AY296">
        <f t="shared" si="293"/>
        <v>0.12791025060087224</v>
      </c>
      <c r="AZ296" t="str">
        <f t="shared" si="269"/>
        <v>1+4.37282253630062i</v>
      </c>
      <c r="BA296">
        <f t="shared" si="294"/>
        <v>4.4857080749842151</v>
      </c>
      <c r="BB296">
        <f t="shared" si="295"/>
        <v>1.3459769942042916</v>
      </c>
      <c r="BC296" s="41" t="str">
        <f t="shared" si="296"/>
        <v>-0.540582363960534+0.199001815902195i</v>
      </c>
      <c r="BD296">
        <f t="shared" si="297"/>
        <v>-4.7908302459431171</v>
      </c>
      <c r="BE296" s="43">
        <f t="shared" si="298"/>
        <v>159.79008357371967</v>
      </c>
      <c r="BF296" s="41" t="str">
        <f t="shared" si="299"/>
        <v>0.295703838558087+1.2049593819887i</v>
      </c>
      <c r="BG296" s="20">
        <f t="shared" si="300"/>
        <v>1.8734241830671803</v>
      </c>
      <c r="BH296" s="43">
        <f t="shared" si="301"/>
        <v>76.211775522880487</v>
      </c>
      <c r="BI296" s="41" t="str">
        <f t="shared" si="255"/>
        <v>0.538382785913854+5.55377808772532i</v>
      </c>
      <c r="BJ296" s="20">
        <f t="shared" si="302"/>
        <v>14.932392044652033</v>
      </c>
      <c r="BK296" s="43">
        <f t="shared" si="256"/>
        <v>84.463052853525355</v>
      </c>
      <c r="BL296">
        <f t="shared" si="303"/>
        <v>1.8734241830671803</v>
      </c>
      <c r="BM296" s="43">
        <f t="shared" si="304"/>
        <v>76.211775522880487</v>
      </c>
    </row>
    <row r="297" spans="14:65" x14ac:dyDescent="0.25">
      <c r="N297" s="9">
        <v>79</v>
      </c>
      <c r="O297" s="34">
        <f t="shared" si="305"/>
        <v>6165.9500186148289</v>
      </c>
      <c r="P297" s="33" t="str">
        <f t="shared" si="257"/>
        <v>19.6196196196196</v>
      </c>
      <c r="Q297" s="4" t="str">
        <f t="shared" si="258"/>
        <v>1+9.37772768141448i</v>
      </c>
      <c r="R297" s="4">
        <f t="shared" si="270"/>
        <v>9.4308947861148038</v>
      </c>
      <c r="S297" s="4">
        <f t="shared" si="271"/>
        <v>1.4645621408952463</v>
      </c>
      <c r="T297" s="4" t="str">
        <f t="shared" si="259"/>
        <v>1+0.145669192672234i</v>
      </c>
      <c r="U297" s="4">
        <f t="shared" si="272"/>
        <v>1.010554062726869</v>
      </c>
      <c r="V297" s="4">
        <f t="shared" si="273"/>
        <v>0.14465177195582227</v>
      </c>
      <c r="W297" t="str">
        <f t="shared" si="260"/>
        <v>1-0.0847477018538597i</v>
      </c>
      <c r="X297" s="4">
        <f t="shared" si="274"/>
        <v>1.0035846615854145</v>
      </c>
      <c r="Y297" s="4">
        <f t="shared" si="275"/>
        <v>-8.4545680827368991E-2</v>
      </c>
      <c r="Z297" t="str">
        <f t="shared" si="261"/>
        <v>0.999961981060368+0.0567290738940121i</v>
      </c>
      <c r="AA297" s="4">
        <f t="shared" si="276"/>
        <v>1.0015698434912306</v>
      </c>
      <c r="AB297" s="4">
        <f t="shared" si="277"/>
        <v>5.6670486133898211E-2</v>
      </c>
      <c r="AC297" s="47" t="str">
        <f t="shared" si="278"/>
        <v>0.230561134462001-2.09388597706903i</v>
      </c>
      <c r="AD297" s="20">
        <f t="shared" si="279"/>
        <v>6.4714002217197226</v>
      </c>
      <c r="AE297" s="43">
        <f t="shared" si="280"/>
        <v>-83.716383841679772</v>
      </c>
      <c r="AF297" t="str">
        <f t="shared" si="262"/>
        <v>72.2956529813786</v>
      </c>
      <c r="AG297" t="str">
        <f t="shared" si="263"/>
        <v>1+7.64763261529229i</v>
      </c>
      <c r="AH297">
        <f t="shared" si="281"/>
        <v>7.7127352228948185</v>
      </c>
      <c r="AI297">
        <f t="shared" si="282"/>
        <v>1.4407745969472969</v>
      </c>
      <c r="AJ297" t="str">
        <f t="shared" si="264"/>
        <v>1+0.145669192672234i</v>
      </c>
      <c r="AK297">
        <f t="shared" si="283"/>
        <v>1.010554062726869</v>
      </c>
      <c r="AL297">
        <f t="shared" si="284"/>
        <v>0.14465177195582227</v>
      </c>
      <c r="AM297" t="str">
        <f t="shared" si="265"/>
        <v>1-0.0187557964519628i</v>
      </c>
      <c r="AN297">
        <f t="shared" si="285"/>
        <v>1.0001758744843565</v>
      </c>
      <c r="AO297">
        <f t="shared" si="286"/>
        <v>-1.8753597611978583E-2</v>
      </c>
      <c r="AP297" s="41" t="str">
        <f t="shared" si="287"/>
        <v>2.39824018005589-9.16557296847095i</v>
      </c>
      <c r="AQ297">
        <f t="shared" si="288"/>
        <v>19.530793786463327</v>
      </c>
      <c r="AR297" s="43">
        <f t="shared" si="289"/>
        <v>-75.336869596437907</v>
      </c>
      <c r="AS297" t="str">
        <f t="shared" si="266"/>
        <v>-0.0000166666666666667</v>
      </c>
      <c r="AT297" t="str">
        <f t="shared" si="267"/>
        <v>0.000131722142309999i</v>
      </c>
      <c r="AU297">
        <f t="shared" si="290"/>
        <v>1.3172214230999899E-4</v>
      </c>
      <c r="AV297">
        <f t="shared" si="291"/>
        <v>1.5707963267948966</v>
      </c>
      <c r="AW297" t="str">
        <f t="shared" si="268"/>
        <v>1+0.131608195820112i</v>
      </c>
      <c r="AX297">
        <f t="shared" si="292"/>
        <v>1.008623178995518</v>
      </c>
      <c r="AY297">
        <f t="shared" si="293"/>
        <v>0.13085614665571602</v>
      </c>
      <c r="AZ297" t="str">
        <f t="shared" si="269"/>
        <v>1+4.47467865788379i</v>
      </c>
      <c r="BA297">
        <f t="shared" si="294"/>
        <v>4.5850571524595711</v>
      </c>
      <c r="BB297">
        <f t="shared" si="295"/>
        <v>1.3509293649597223</v>
      </c>
      <c r="BC297" s="41" t="str">
        <f t="shared" si="296"/>
        <v>-0.540168122165018+0.197619519522687i</v>
      </c>
      <c r="BD297">
        <f t="shared" si="297"/>
        <v>-4.8038845334860216</v>
      </c>
      <c r="BE297" s="43">
        <f t="shared" si="298"/>
        <v>159.90504610576303</v>
      </c>
      <c r="BF297" s="41" t="str">
        <f t="shared" si="299"/>
        <v>0.289250965677098+1.17661383687403i</v>
      </c>
      <c r="BG297" s="20">
        <f t="shared" si="300"/>
        <v>1.6675156882337143</v>
      </c>
      <c r="BH297" s="43">
        <f t="shared" si="301"/>
        <v>76.188662264083305</v>
      </c>
      <c r="BI297" s="41" t="str">
        <f t="shared" si="255"/>
        <v>0.515843231617872+5.42488941102805i</v>
      </c>
      <c r="BJ297" s="20">
        <f t="shared" si="302"/>
        <v>14.726909252977308</v>
      </c>
      <c r="BK297" s="43">
        <f t="shared" si="256"/>
        <v>84.568176509325141</v>
      </c>
      <c r="BL297">
        <f t="shared" si="303"/>
        <v>1.6675156882337143</v>
      </c>
      <c r="BM297" s="43">
        <f t="shared" si="304"/>
        <v>76.188662264083305</v>
      </c>
    </row>
    <row r="298" spans="14:65" x14ac:dyDescent="0.25">
      <c r="N298" s="9">
        <v>80</v>
      </c>
      <c r="O298" s="34">
        <f t="shared" si="305"/>
        <v>6309.5734448019384</v>
      </c>
      <c r="P298" s="33" t="str">
        <f t="shared" si="257"/>
        <v>19.6196196196196</v>
      </c>
      <c r="Q298" s="4" t="str">
        <f t="shared" si="258"/>
        <v>1+9.59616301990867i</v>
      </c>
      <c r="R298" s="4">
        <f t="shared" si="270"/>
        <v>9.648126486767401</v>
      </c>
      <c r="S298" s="4">
        <f t="shared" si="271"/>
        <v>1.4669627830551955</v>
      </c>
      <c r="T298" s="4" t="str">
        <f t="shared" si="259"/>
        <v>1+0.149062264052692i</v>
      </c>
      <c r="U298" s="4">
        <f t="shared" si="272"/>
        <v>1.0110487419331051</v>
      </c>
      <c r="V298" s="4">
        <f t="shared" si="273"/>
        <v>0.14797272051721727</v>
      </c>
      <c r="W298" t="str">
        <f t="shared" si="260"/>
        <v>1-0.0867217294189532i</v>
      </c>
      <c r="X298" s="4">
        <f t="shared" si="274"/>
        <v>1.0037532856003084</v>
      </c>
      <c r="Y298" s="4">
        <f t="shared" si="275"/>
        <v>-8.650530368159963E-2</v>
      </c>
      <c r="Z298" t="str">
        <f t="shared" si="261"/>
        <v>0.999960189282945+0.0580504637743196i</v>
      </c>
      <c r="AA298" s="4">
        <f t="shared" si="276"/>
        <v>1.0016437672621921</v>
      </c>
      <c r="AB298" s="4">
        <f t="shared" si="277"/>
        <v>5.7987691420295986E-2</v>
      </c>
      <c r="AC298" s="47" t="str">
        <f t="shared" si="278"/>
        <v>0.22067488754077-2.04846176740753i</v>
      </c>
      <c r="AD298" s="20">
        <f t="shared" si="279"/>
        <v>6.2786674945600494</v>
      </c>
      <c r="AE298" s="43">
        <f t="shared" si="280"/>
        <v>-83.85140259166576</v>
      </c>
      <c r="AF298" t="str">
        <f t="shared" si="262"/>
        <v>72.2956529813786</v>
      </c>
      <c r="AG298" t="str">
        <f t="shared" si="263"/>
        <v>1+7.82576886276633i</v>
      </c>
      <c r="AH298">
        <f t="shared" si="281"/>
        <v>7.8894016435622678</v>
      </c>
      <c r="AI298">
        <f t="shared" si="282"/>
        <v>1.4437021207254443</v>
      </c>
      <c r="AJ298" t="str">
        <f t="shared" si="264"/>
        <v>1+0.149062264052692i</v>
      </c>
      <c r="AK298">
        <f t="shared" si="283"/>
        <v>1.0110487419331051</v>
      </c>
      <c r="AL298">
        <f t="shared" si="284"/>
        <v>0.14797272051721727</v>
      </c>
      <c r="AM298" t="str">
        <f t="shared" si="265"/>
        <v>1-0.0191926750739378i</v>
      </c>
      <c r="AN298">
        <f t="shared" si="285"/>
        <v>1.0001841624303465</v>
      </c>
      <c r="AO298">
        <f t="shared" si="286"/>
        <v>-1.9190318997875367E-2</v>
      </c>
      <c r="AP298" s="41" t="str">
        <f t="shared" si="287"/>
        <v>2.34531564777916-8.96489143210654i</v>
      </c>
      <c r="AQ298">
        <f t="shared" si="288"/>
        <v>19.33840369838649</v>
      </c>
      <c r="AR298" s="43">
        <f t="shared" si="289"/>
        <v>-75.339350309036988</v>
      </c>
      <c r="AS298" t="str">
        <f t="shared" si="266"/>
        <v>-0.0000166666666666667</v>
      </c>
      <c r="AT298" t="str">
        <f t="shared" si="267"/>
        <v>0.00013479034515403i</v>
      </c>
      <c r="AU298">
        <f t="shared" si="290"/>
        <v>1.3479034515403001E-4</v>
      </c>
      <c r="AV298">
        <f t="shared" si="291"/>
        <v>1.5707963267948966</v>
      </c>
      <c r="AW298" t="str">
        <f t="shared" si="268"/>
        <v>1+0.134673744509433i</v>
      </c>
      <c r="AX298">
        <f t="shared" si="292"/>
        <v>1.0090277585181648</v>
      </c>
      <c r="AY298">
        <f t="shared" si="293"/>
        <v>0.13386829819223331</v>
      </c>
      <c r="AZ298" t="str">
        <f t="shared" si="269"/>
        <v>1+4.57890731332072i</v>
      </c>
      <c r="BA298">
        <f t="shared" si="294"/>
        <v>4.6868317853302539</v>
      </c>
      <c r="BB298">
        <f t="shared" si="295"/>
        <v>1.3557796215906495</v>
      </c>
      <c r="BC298" s="41" t="str">
        <f t="shared" si="296"/>
        <v>-0.539735037651524+0.19633695515802i</v>
      </c>
      <c r="BD298">
        <f t="shared" si="297"/>
        <v>-4.8166756624525071</v>
      </c>
      <c r="BE298" s="43">
        <f t="shared" si="298"/>
        <v>160.01036176997428</v>
      </c>
      <c r="BF298" s="41" t="str">
        <f t="shared" si="299"/>
        <v>0.283082777434847+1.148953224659i</v>
      </c>
      <c r="BG298" s="20">
        <f t="shared" si="300"/>
        <v>1.461991832107514</v>
      </c>
      <c r="BH298" s="43">
        <f t="shared" si="301"/>
        <v>76.158959178308493</v>
      </c>
      <c r="BI298" s="41" t="str">
        <f t="shared" si="255"/>
        <v>0.494290457643226+5.29913814781927i</v>
      </c>
      <c r="BJ298" s="20">
        <f t="shared" si="302"/>
        <v>14.521728035933986</v>
      </c>
      <c r="BK298" s="43">
        <f t="shared" si="256"/>
        <v>84.671011460937308</v>
      </c>
      <c r="BL298">
        <f t="shared" si="303"/>
        <v>1.461991832107514</v>
      </c>
      <c r="BM298" s="43">
        <f t="shared" si="304"/>
        <v>76.158959178308493</v>
      </c>
    </row>
    <row r="299" spans="14:65" x14ac:dyDescent="0.25">
      <c r="N299" s="9">
        <v>81</v>
      </c>
      <c r="O299" s="34">
        <f t="shared" si="305"/>
        <v>6456.5422903465615</v>
      </c>
      <c r="P299" s="33" t="str">
        <f t="shared" si="257"/>
        <v>19.6196196196196</v>
      </c>
      <c r="Q299" s="4" t="str">
        <f t="shared" si="258"/>
        <v>1+9.81968637105628i</v>
      </c>
      <c r="R299" s="4">
        <f t="shared" si="270"/>
        <v>9.870473161196907</v>
      </c>
      <c r="S299" s="4">
        <f t="shared" si="271"/>
        <v>1.4693099411254444</v>
      </c>
      <c r="T299" s="4" t="str">
        <f t="shared" si="259"/>
        <v>1+0.152534370218623i</v>
      </c>
      <c r="U299" s="4">
        <f t="shared" si="272"/>
        <v>1.011566475372722</v>
      </c>
      <c r="V299" s="4">
        <f t="shared" si="273"/>
        <v>0.15136762304278364</v>
      </c>
      <c r="W299" t="str">
        <f t="shared" si="260"/>
        <v>1-0.0887417379928827i</v>
      </c>
      <c r="X299" s="4">
        <f t="shared" si="274"/>
        <v>1.003929826263767</v>
      </c>
      <c r="Y299" s="4">
        <f t="shared" si="275"/>
        <v>-8.8509882636961967E-2</v>
      </c>
      <c r="Z299" t="str">
        <f t="shared" si="261"/>
        <v>0.999958313061653+0.0594026327789092i</v>
      </c>
      <c r="AA299" s="4">
        <f t="shared" si="276"/>
        <v>1.0017211691095347</v>
      </c>
      <c r="AB299" s="4">
        <f t="shared" si="277"/>
        <v>5.9335377229045111E-2</v>
      </c>
      <c r="AC299" s="47" t="str">
        <f t="shared" si="278"/>
        <v>0.211217834496893-2.00403214581735i</v>
      </c>
      <c r="AD299" s="20">
        <f t="shared" si="279"/>
        <v>6.0860708879777761</v>
      </c>
      <c r="AE299" s="43">
        <f t="shared" si="280"/>
        <v>-83.983441879161845</v>
      </c>
      <c r="AF299" t="str">
        <f t="shared" si="262"/>
        <v>72.2956529813786</v>
      </c>
      <c r="AG299" t="str">
        <f t="shared" si="263"/>
        <v>1+8.00805443647772i</v>
      </c>
      <c r="AH299">
        <f t="shared" si="281"/>
        <v>8.0702500492605846</v>
      </c>
      <c r="AI299">
        <f t="shared" si="282"/>
        <v>1.4465651239382604</v>
      </c>
      <c r="AJ299" t="str">
        <f t="shared" si="264"/>
        <v>1+0.152534370218623i</v>
      </c>
      <c r="AK299">
        <f t="shared" si="283"/>
        <v>1.011566475372722</v>
      </c>
      <c r="AL299">
        <f t="shared" si="284"/>
        <v>0.15136762304278364</v>
      </c>
      <c r="AM299" t="str">
        <f t="shared" si="265"/>
        <v>1-0.0196397299062821i</v>
      </c>
      <c r="AN299">
        <f t="shared" si="285"/>
        <v>1.0001928409015892</v>
      </c>
      <c r="AO299">
        <f t="shared" si="286"/>
        <v>-1.9637205351584607E-2</v>
      </c>
      <c r="AP299" s="41" t="str">
        <f t="shared" si="287"/>
        <v>2.29469824107975-8.76836363075022i</v>
      </c>
      <c r="AQ299">
        <f t="shared" si="288"/>
        <v>19.146067260302566</v>
      </c>
      <c r="AR299" s="43">
        <f t="shared" si="289"/>
        <v>-75.334479425280023</v>
      </c>
      <c r="AS299" t="str">
        <f t="shared" si="266"/>
        <v>-0.0000166666666666667</v>
      </c>
      <c r="AT299" t="str">
        <f t="shared" si="267"/>
        <v>0.000137930015623223i</v>
      </c>
      <c r="AU299">
        <f t="shared" si="290"/>
        <v>1.3793001562322299E-4</v>
      </c>
      <c r="AV299">
        <f t="shared" si="291"/>
        <v>1.5707963267948966</v>
      </c>
      <c r="AW299" t="str">
        <f t="shared" si="268"/>
        <v>1+0.137810699000712i</v>
      </c>
      <c r="AX299">
        <f t="shared" si="292"/>
        <v>1.0094512314911825</v>
      </c>
      <c r="AY299">
        <f t="shared" si="293"/>
        <v>0.13694808354198473</v>
      </c>
      <c r="AZ299" t="str">
        <f t="shared" si="269"/>
        <v>1+4.6855637660242i</v>
      </c>
      <c r="BA299">
        <f t="shared" si="294"/>
        <v>4.7910862865824999</v>
      </c>
      <c r="BB299">
        <f t="shared" si="295"/>
        <v>1.3605294225324971</v>
      </c>
      <c r="BC299" s="41" t="str">
        <f t="shared" si="296"/>
        <v>-0.539282286192418+0.195153094722212i</v>
      </c>
      <c r="BD299">
        <f t="shared" si="297"/>
        <v>-4.8292277097161991</v>
      </c>
      <c r="BE299" s="43">
        <f t="shared" si="298"/>
        <v>160.10604661512241</v>
      </c>
      <c r="BF299" s="41" t="str">
        <f t="shared" si="299"/>
        <v>0.277187038506955+1.12195885126207i</v>
      </c>
      <c r="BG299" s="20">
        <f t="shared" si="300"/>
        <v>1.256843178261575</v>
      </c>
      <c r="BH299" s="43">
        <f t="shared" si="301"/>
        <v>76.12260473596055</v>
      </c>
      <c r="BI299" s="41" t="str">
        <f t="shared" si="255"/>
        <v>0.473683184619389+5.17644064815776i</v>
      </c>
      <c r="BJ299" s="20">
        <f t="shared" si="302"/>
        <v>14.316839550586369</v>
      </c>
      <c r="BK299" s="43">
        <f t="shared" si="256"/>
        <v>84.771567189842386</v>
      </c>
      <c r="BL299">
        <f t="shared" si="303"/>
        <v>1.256843178261575</v>
      </c>
      <c r="BM299" s="43">
        <f t="shared" si="304"/>
        <v>76.12260473596055</v>
      </c>
    </row>
    <row r="300" spans="14:65" x14ac:dyDescent="0.25">
      <c r="N300" s="9">
        <v>82</v>
      </c>
      <c r="O300" s="34">
        <f t="shared" si="305"/>
        <v>6606.9344800759654</v>
      </c>
      <c r="P300" s="33" t="str">
        <f t="shared" si="257"/>
        <v>19.6196196196196</v>
      </c>
      <c r="Q300" s="4" t="str">
        <f t="shared" si="258"/>
        <v>1+10.0484162498967i</v>
      </c>
      <c r="R300" s="4">
        <f t="shared" si="270"/>
        <v>10.09805273957252</v>
      </c>
      <c r="S300" s="4">
        <f t="shared" si="271"/>
        <v>1.471604756096905</v>
      </c>
      <c r="T300" s="4" t="str">
        <f t="shared" si="259"/>
        <v>1+0.156087352126675i</v>
      </c>
      <c r="U300" s="4">
        <f t="shared" si="272"/>
        <v>1.0121083249800471</v>
      </c>
      <c r="V300" s="4">
        <f t="shared" si="273"/>
        <v>0.15483796637312483</v>
      </c>
      <c r="W300" t="str">
        <f t="shared" si="260"/>
        <v>1-0.0908087986109314i</v>
      </c>
      <c r="X300" s="4">
        <f t="shared" si="274"/>
        <v>1.0041146537647783</v>
      </c>
      <c r="Y300" s="4">
        <f t="shared" si="275"/>
        <v>-9.0560416071438998E-2</v>
      </c>
      <c r="Z300" t="str">
        <f t="shared" si="261"/>
        <v>0.999956348416776+0.0607862978456847i</v>
      </c>
      <c r="AA300" s="4">
        <f t="shared" si="276"/>
        <v>1.0018022123876535</v>
      </c>
      <c r="AB300" s="4">
        <f t="shared" si="277"/>
        <v>6.0714239224657025E-2</v>
      </c>
      <c r="AC300" s="47" t="str">
        <f t="shared" si="278"/>
        <v>0.202171160756468-1.96057948860656i</v>
      </c>
      <c r="AD300" s="20">
        <f t="shared" si="279"/>
        <v>5.8936252861479215</v>
      </c>
      <c r="AE300" s="43">
        <f t="shared" si="280"/>
        <v>-84.11257894992562</v>
      </c>
      <c r="AF300" t="str">
        <f t="shared" si="262"/>
        <v>72.2956529813786</v>
      </c>
      <c r="AG300" t="str">
        <f t="shared" si="263"/>
        <v>1+8.19458598665044i</v>
      </c>
      <c r="AH300">
        <f t="shared" si="281"/>
        <v>8.2553763992084424</v>
      </c>
      <c r="AI300">
        <f t="shared" si="282"/>
        <v>1.4493649367483596</v>
      </c>
      <c r="AJ300" t="str">
        <f t="shared" si="264"/>
        <v>1+0.156087352126675i</v>
      </c>
      <c r="AK300">
        <f t="shared" si="283"/>
        <v>1.0121083249800471</v>
      </c>
      <c r="AL300">
        <f t="shared" si="284"/>
        <v>0.15483796637312483</v>
      </c>
      <c r="AM300" t="str">
        <f t="shared" si="265"/>
        <v>1-0.0200971979833852i</v>
      </c>
      <c r="AN300">
        <f t="shared" si="285"/>
        <v>1.0002019282958734</v>
      </c>
      <c r="AO300">
        <f t="shared" si="286"/>
        <v>-2.0094492903784591E-2</v>
      </c>
      <c r="AP300" s="41" t="str">
        <f t="shared" si="287"/>
        <v>2.24629056157681-8.575924165015i</v>
      </c>
      <c r="AQ300">
        <f t="shared" si="288"/>
        <v>18.953799796194094</v>
      </c>
      <c r="AR300" s="43">
        <f t="shared" si="289"/>
        <v>-75.322261503200338</v>
      </c>
      <c r="AS300" t="str">
        <f t="shared" si="266"/>
        <v>-0.0000166666666666667</v>
      </c>
      <c r="AT300" t="str">
        <f t="shared" si="267"/>
        <v>0.000141142818412419i</v>
      </c>
      <c r="AU300">
        <f t="shared" si="290"/>
        <v>1.41142818412419E-4</v>
      </c>
      <c r="AV300">
        <f t="shared" si="291"/>
        <v>1.5707963267948966</v>
      </c>
      <c r="AW300" t="str">
        <f t="shared" si="268"/>
        <v>1+0.141020722548741i</v>
      </c>
      <c r="AX300">
        <f t="shared" si="292"/>
        <v>1.0098944718079057</v>
      </c>
      <c r="AY300">
        <f t="shared" si="293"/>
        <v>0.14009690182873163</v>
      </c>
      <c r="AZ300" t="str">
        <f t="shared" si="269"/>
        <v>1+4.79470456665718i</v>
      </c>
      <c r="BA300">
        <f t="shared" si="294"/>
        <v>4.8978762623736438</v>
      </c>
      <c r="BB300">
        <f t="shared" si="295"/>
        <v>1.3651804285296583</v>
      </c>
      <c r="BC300" s="41" t="str">
        <f t="shared" si="296"/>
        <v>-0.538809010612064+0.194066939110405i</v>
      </c>
      <c r="BD300">
        <f t="shared" si="297"/>
        <v>-4.8415644306544863</v>
      </c>
      <c r="BE300" s="43">
        <f t="shared" si="298"/>
        <v>160.19211563096553</v>
      </c>
      <c r="BF300" s="41" t="str">
        <f t="shared" si="299"/>
        <v>0.271552017135033+1.09561263282681i</v>
      </c>
      <c r="BG300" s="20">
        <f t="shared" si="300"/>
        <v>1.0520608554934179</v>
      </c>
      <c r="BH300" s="43">
        <f t="shared" si="301"/>
        <v>76.079536681039912</v>
      </c>
      <c r="BI300" s="41" t="str">
        <f t="shared" si="255"/>
        <v>0.453981757716998+5.05671594807363i</v>
      </c>
      <c r="BJ300" s="20">
        <f t="shared" si="302"/>
        <v>14.112235365539615</v>
      </c>
      <c r="BK300" s="43">
        <f t="shared" si="256"/>
        <v>84.869854127765223</v>
      </c>
      <c r="BL300">
        <f t="shared" si="303"/>
        <v>1.0520608554934179</v>
      </c>
      <c r="BM300" s="43">
        <f t="shared" si="304"/>
        <v>76.079536681039912</v>
      </c>
    </row>
    <row r="301" spans="14:65" x14ac:dyDescent="0.25">
      <c r="N301" s="9">
        <v>83</v>
      </c>
      <c r="O301" s="34">
        <f t="shared" si="305"/>
        <v>6760.8297539198229</v>
      </c>
      <c r="P301" s="33" t="str">
        <f t="shared" si="257"/>
        <v>19.6196196196196</v>
      </c>
      <c r="Q301" s="4" t="str">
        <f t="shared" si="258"/>
        <v>1+10.2824739320393i</v>
      </c>
      <c r="R301" s="4">
        <f t="shared" si="270"/>
        <v>10.330985924057188</v>
      </c>
      <c r="S301" s="4">
        <f t="shared" si="271"/>
        <v>1.4738483479786646</v>
      </c>
      <c r="T301" s="4" t="str">
        <f t="shared" si="259"/>
        <v>1+0.159723093614885i</v>
      </c>
      <c r="U301" s="4">
        <f t="shared" si="272"/>
        <v>1.0126754004289378</v>
      </c>
      <c r="V301" s="4">
        <f t="shared" si="273"/>
        <v>0.15838525600366385</v>
      </c>
      <c r="W301" t="str">
        <f t="shared" si="260"/>
        <v>1-0.0929240072560004i</v>
      </c>
      <c r="X301" s="4">
        <f t="shared" si="274"/>
        <v>1.0043081554605207</v>
      </c>
      <c r="Y301" s="4">
        <f t="shared" si="275"/>
        <v>-9.2657922192009273E-2</v>
      </c>
      <c r="Z301" t="str">
        <f t="shared" si="261"/>
        <v>0.999954291181039+0.0622021926121798i</v>
      </c>
      <c r="AA301" s="4">
        <f t="shared" si="276"/>
        <v>1.0018870680955696</v>
      </c>
      <c r="AB301" s="4">
        <f t="shared" si="277"/>
        <v>6.2124988259829504E-2</v>
      </c>
      <c r="AC301" s="47" t="str">
        <f t="shared" si="278"/>
        <v>0.193516815384268-1.91808630356953i</v>
      </c>
      <c r="AD301" s="20">
        <f t="shared" si="279"/>
        <v>5.7013458420292569</v>
      </c>
      <c r="AE301" s="43">
        <f t="shared" si="280"/>
        <v>-84.23889078503889</v>
      </c>
      <c r="AF301" t="str">
        <f t="shared" si="262"/>
        <v>72.2956529813786</v>
      </c>
      <c r="AG301" t="str">
        <f t="shared" si="263"/>
        <v>1+8.38546241478147i</v>
      </c>
      <c r="AH301">
        <f t="shared" si="281"/>
        <v>8.4448789162256599</v>
      </c>
      <c r="AI301">
        <f t="shared" si="282"/>
        <v>1.45210286797879</v>
      </c>
      <c r="AJ301" t="str">
        <f t="shared" si="264"/>
        <v>1+0.159723093614885i</v>
      </c>
      <c r="AK301">
        <f t="shared" si="283"/>
        <v>1.0126754004289378</v>
      </c>
      <c r="AL301">
        <f t="shared" si="284"/>
        <v>0.15838525600366385</v>
      </c>
      <c r="AM301" t="str">
        <f t="shared" si="265"/>
        <v>1-0.0205653218608769i</v>
      </c>
      <c r="AN301">
        <f t="shared" si="285"/>
        <v>1.0002114438773642</v>
      </c>
      <c r="AO301">
        <f t="shared" si="286"/>
        <v>-2.0562423348955569E-2</v>
      </c>
      <c r="AP301" s="41" t="str">
        <f t="shared" si="287"/>
        <v>2.19999904673097-8.38750734252788i</v>
      </c>
      <c r="AQ301">
        <f t="shared" si="288"/>
        <v>18.761616745205952</v>
      </c>
      <c r="AR301" s="43">
        <f t="shared" si="289"/>
        <v>-75.302699122374577</v>
      </c>
      <c r="AS301" t="str">
        <f t="shared" si="266"/>
        <v>-0.0000166666666666667</v>
      </c>
      <c r="AT301" t="str">
        <f t="shared" si="267"/>
        <v>0.000144430456992183i</v>
      </c>
      <c r="AU301">
        <f t="shared" si="290"/>
        <v>1.44430456992183E-4</v>
      </c>
      <c r="AV301">
        <f t="shared" si="291"/>
        <v>1.5707963267948966</v>
      </c>
      <c r="AW301" t="str">
        <f t="shared" si="268"/>
        <v>1+0.144305517150495i</v>
      </c>
      <c r="AX301">
        <f t="shared" si="292"/>
        <v>1.0103583929873952</v>
      </c>
      <c r="AY301">
        <f t="shared" si="293"/>
        <v>0.14331617270081906</v>
      </c>
      <c r="AZ301" t="str">
        <f t="shared" si="269"/>
        <v>1+4.90638758311682i</v>
      </c>
      <c r="BA301">
        <f t="shared" si="294"/>
        <v>5.0072586427867805</v>
      </c>
      <c r="BB301">
        <f t="shared" si="295"/>
        <v>1.3697343003526334</v>
      </c>
      <c r="BC301" s="41" t="str">
        <f t="shared" si="296"/>
        <v>-0.538314319765943+0.193077516178664i</v>
      </c>
      <c r="BD301">
        <f t="shared" si="297"/>
        <v>-4.8537092883745112</v>
      </c>
      <c r="BE301" s="43">
        <f t="shared" si="298"/>
        <v>160.26858263278555</v>
      </c>
      <c r="BF301" s="41" t="str">
        <f t="shared" si="299"/>
        <v>0.266166466472666+1.0698970698116i</v>
      </c>
      <c r="BG301" s="20">
        <f t="shared" si="300"/>
        <v>0.84763655365472412</v>
      </c>
      <c r="BH301" s="43">
        <f t="shared" si="301"/>
        <v>76.029691847746619</v>
      </c>
      <c r="BI301" s="41" t="str">
        <f t="shared" si="255"/>
        <v>0.435148094298885+4.93988566116299i</v>
      </c>
      <c r="BJ301" s="20">
        <f t="shared" si="302"/>
        <v>13.907907456831438</v>
      </c>
      <c r="BK301" s="43">
        <f t="shared" si="256"/>
        <v>84.965883510410976</v>
      </c>
      <c r="BL301">
        <f t="shared" si="303"/>
        <v>0.84763655365472412</v>
      </c>
      <c r="BM301" s="43">
        <f t="shared" si="304"/>
        <v>76.029691847746619</v>
      </c>
    </row>
    <row r="302" spans="14:65" x14ac:dyDescent="0.25">
      <c r="N302" s="9">
        <v>84</v>
      </c>
      <c r="O302" s="34">
        <f t="shared" si="305"/>
        <v>6918.3097091893687</v>
      </c>
      <c r="P302" s="33" t="str">
        <f t="shared" si="257"/>
        <v>19.6196196196196</v>
      </c>
      <c r="Q302" s="4" t="str">
        <f t="shared" si="258"/>
        <v>1+10.5219835179654i</v>
      </c>
      <c r="R302" s="4">
        <f t="shared" si="270"/>
        <v>10.56939625297186</v>
      </c>
      <c r="S302" s="4">
        <f t="shared" si="271"/>
        <v>1.476041815954579</v>
      </c>
      <c r="T302" s="4" t="str">
        <f t="shared" si="259"/>
        <v>1+0.163443522401515i</v>
      </c>
      <c r="U302" s="4">
        <f t="shared" si="272"/>
        <v>1.0132688611691443</v>
      </c>
      <c r="V302" s="4">
        <f t="shared" si="273"/>
        <v>0.1620110154798059</v>
      </c>
      <c r="W302" t="str">
        <f t="shared" si="260"/>
        <v>1-0.0950884854397111i</v>
      </c>
      <c r="X302" s="4">
        <f t="shared" si="274"/>
        <v>1.0045107366590056</v>
      </c>
      <c r="Y302" s="4">
        <f t="shared" si="275"/>
        <v>-9.4803439259033409E-2</v>
      </c>
      <c r="Z302" t="str">
        <f t="shared" si="261"/>
        <v>0.999952136990768+0.0636510678045413i</v>
      </c>
      <c r="AA302" s="4">
        <f t="shared" si="276"/>
        <v>1.0019759152320289</v>
      </c>
      <c r="AB302" s="4">
        <f t="shared" si="277"/>
        <v>6.3568350657547262E-2</v>
      </c>
      <c r="AC302" s="47" t="str">
        <f t="shared" si="278"/>
        <v>0.185237481977854-1.87653524484087i</v>
      </c>
      <c r="AD302" s="20">
        <f t="shared" si="279"/>
        <v>5.5092480026034476</v>
      </c>
      <c r="AE302" s="43">
        <f t="shared" si="280"/>
        <v>-84.362454173554255</v>
      </c>
      <c r="AF302" t="str">
        <f t="shared" si="262"/>
        <v>72.2956529813786</v>
      </c>
      <c r="AG302" t="str">
        <f t="shared" si="263"/>
        <v>1+8.58078492607952i</v>
      </c>
      <c r="AH302">
        <f t="shared" si="281"/>
        <v>8.6388581391080557</v>
      </c>
      <c r="AI302">
        <f t="shared" si="282"/>
        <v>1.4547802050346423</v>
      </c>
      <c r="AJ302" t="str">
        <f t="shared" si="264"/>
        <v>1+0.163443522401515i</v>
      </c>
      <c r="AK302">
        <f t="shared" si="283"/>
        <v>1.0132688611691443</v>
      </c>
      <c r="AL302">
        <f t="shared" si="284"/>
        <v>0.1620110154798059</v>
      </c>
      <c r="AM302" t="str">
        <f t="shared" si="265"/>
        <v>1-0.0210443497442336i</v>
      </c>
      <c r="AN302">
        <f t="shared" si="285"/>
        <v>1.0002214078173679</v>
      </c>
      <c r="AO302">
        <f t="shared" si="286"/>
        <v>-2.1041243969883272E-2</v>
      </c>
      <c r="AP302" s="41" t="str">
        <f t="shared" si="287"/>
        <v>2.15573384304059-8.20304729373594i</v>
      </c>
      <c r="AQ302">
        <f t="shared" si="288"/>
        <v>18.569533686780819</v>
      </c>
      <c r="AR302" s="43">
        <f t="shared" si="289"/>
        <v>-75.275792921219448</v>
      </c>
      <c r="AS302" t="str">
        <f t="shared" si="266"/>
        <v>-0.0000166666666666667</v>
      </c>
      <c r="AT302" t="str">
        <f t="shared" si="267"/>
        <v>0.000147794674512008i</v>
      </c>
      <c r="AU302">
        <f t="shared" si="290"/>
        <v>1.4779467451200799E-4</v>
      </c>
      <c r="AV302">
        <f t="shared" si="291"/>
        <v>1.5707963267948966</v>
      </c>
      <c r="AW302" t="str">
        <f t="shared" si="268"/>
        <v>1+0.147666824447552i</v>
      </c>
      <c r="AX302">
        <f t="shared" si="292"/>
        <v>1.0108439498965327</v>
      </c>
      <c r="AY302">
        <f t="shared" si="293"/>
        <v>0.14660733601019188</v>
      </c>
      <c r="AZ302" t="str">
        <f t="shared" si="269"/>
        <v>1+5.02067203121674i</v>
      </c>
      <c r="BA302">
        <f t="shared" si="294"/>
        <v>5.1192917132199076</v>
      </c>
      <c r="BB302">
        <f t="shared" si="295"/>
        <v>1.3741926966725155</v>
      </c>
      <c r="BC302" s="41" t="str">
        <f t="shared" si="296"/>
        <v>-0.537797287517681+0.192183878652004i</v>
      </c>
      <c r="BD302">
        <f t="shared" si="297"/>
        <v>-4.8656854833857395</v>
      </c>
      <c r="BE302" s="43">
        <f t="shared" si="298"/>
        <v>160.33546015799607</v>
      </c>
      <c r="BF302" s="41" t="str">
        <f t="shared" si="299"/>
        <v>0.261019606426411+1.04479522236498i</v>
      </c>
      <c r="BG302" s="20">
        <f t="shared" si="300"/>
        <v>0.64356251921768948</v>
      </c>
      <c r="BH302" s="43">
        <f t="shared" si="301"/>
        <v>75.973005984441798</v>
      </c>
      <c r="BI302" s="41" t="str">
        <f t="shared" si="255"/>
        <v>0.417145632278702+4.82587387524737i</v>
      </c>
      <c r="BJ302" s="20">
        <f t="shared" si="302"/>
        <v>13.703848203395076</v>
      </c>
      <c r="BK302" s="43">
        <f t="shared" si="256"/>
        <v>85.059667236776619</v>
      </c>
      <c r="BL302">
        <f t="shared" si="303"/>
        <v>0.64356251921768948</v>
      </c>
      <c r="BM302" s="43">
        <f t="shared" si="304"/>
        <v>75.973005984441798</v>
      </c>
    </row>
    <row r="303" spans="14:65" x14ac:dyDescent="0.25">
      <c r="N303" s="9">
        <v>85</v>
      </c>
      <c r="O303" s="34">
        <f t="shared" si="305"/>
        <v>7079.4578438413828</v>
      </c>
      <c r="P303" s="33" t="str">
        <f t="shared" si="257"/>
        <v>19.6196196196196</v>
      </c>
      <c r="Q303" s="4" t="str">
        <f t="shared" si="258"/>
        <v>1+10.7670719988276i</v>
      </c>
      <c r="R303" s="4">
        <f t="shared" si="270"/>
        <v>10.813410166452458</v>
      </c>
      <c r="S303" s="4">
        <f t="shared" si="271"/>
        <v>1.4781862385564402</v>
      </c>
      <c r="T303" s="4" t="str">
        <f t="shared" si="259"/>
        <v>1+0.167250611107152i</v>
      </c>
      <c r="U303" s="4">
        <f t="shared" si="272"/>
        <v>1.0138899185393431</v>
      </c>
      <c r="V303" s="4">
        <f t="shared" si="273"/>
        <v>0.16571678571553961</v>
      </c>
      <c r="W303" t="str">
        <f t="shared" si="260"/>
        <v>1-0.0973033807970469i</v>
      </c>
      <c r="X303" s="4">
        <f t="shared" si="274"/>
        <v>1.004722821436109</v>
      </c>
      <c r="Y303" s="4">
        <f t="shared" si="275"/>
        <v>-9.699802579978839E-2</v>
      </c>
      <c r="Z303" t="str">
        <f t="shared" si="261"/>
        <v>0.999949881276637+0.0651336916355742i</v>
      </c>
      <c r="AA303" s="4">
        <f t="shared" si="276"/>
        <v>1.0020689411668433</v>
      </c>
      <c r="AB303" s="4">
        <f t="shared" si="277"/>
        <v>6.5045068494747241E-2</v>
      </c>
      <c r="AC303" s="47" t="str">
        <f t="shared" si="278"/>
        <v>0.177316550351526-1.8359091263473i</v>
      </c>
      <c r="AD303" s="20">
        <f t="shared" si="279"/>
        <v>5.3173475343037113</v>
      </c>
      <c r="AE303" s="43">
        <f t="shared" si="280"/>
        <v>-84.483345789945332</v>
      </c>
      <c r="AF303" t="str">
        <f t="shared" si="262"/>
        <v>72.2956529813786</v>
      </c>
      <c r="AG303" t="str">
        <f t="shared" si="263"/>
        <v>1+8.7806570831255i</v>
      </c>
      <c r="AH303">
        <f t="shared" si="281"/>
        <v>8.8374169762121113</v>
      </c>
      <c r="AI303">
        <f t="shared" si="282"/>
        <v>1.4573982138606862</v>
      </c>
      <c r="AJ303" t="str">
        <f t="shared" si="264"/>
        <v>1+0.167250611107152i</v>
      </c>
      <c r="AK303">
        <f t="shared" si="283"/>
        <v>1.0138899185393431</v>
      </c>
      <c r="AL303">
        <f t="shared" si="284"/>
        <v>0.16571678571553961</v>
      </c>
      <c r="AM303" t="str">
        <f t="shared" si="265"/>
        <v>1-0.0215345356203795i</v>
      </c>
      <c r="AN303">
        <f t="shared" si="285"/>
        <v>1.000231841237013</v>
      </c>
      <c r="AO303">
        <f t="shared" si="286"/>
        <v>-2.1531207764864568E-2</v>
      </c>
      <c r="AP303" s="41" t="str">
        <f t="shared" si="287"/>
        <v>2.11340868120687-8.02247807897797i</v>
      </c>
      <c r="AQ303">
        <f t="shared" si="288"/>
        <v>18.377566365810392</v>
      </c>
      <c r="AR303" s="43">
        <f t="shared" si="289"/>
        <v>-75.241541640893658</v>
      </c>
      <c r="AS303" t="str">
        <f t="shared" si="266"/>
        <v>-0.0000166666666666667</v>
      </c>
      <c r="AT303" t="str">
        <f t="shared" si="267"/>
        <v>0.000151237254724553i</v>
      </c>
      <c r="AU303">
        <f t="shared" si="290"/>
        <v>1.51237254724553E-4</v>
      </c>
      <c r="AV303">
        <f t="shared" si="291"/>
        <v>1.5707963267948966</v>
      </c>
      <c r="AW303" t="str">
        <f t="shared" si="268"/>
        <v>1+0.151106426649532i</v>
      </c>
      <c r="AX303">
        <f t="shared" si="292"/>
        <v>1.0113521405399755</v>
      </c>
      <c r="AY303">
        <f t="shared" si="293"/>
        <v>0.14997185143419331</v>
      </c>
      <c r="AZ303" t="str">
        <f t="shared" si="269"/>
        <v>1+5.13761850608407i</v>
      </c>
      <c r="BA303">
        <f t="shared" si="294"/>
        <v>5.2340351464293313</v>
      </c>
      <c r="BB303">
        <f t="shared" si="295"/>
        <v>1.3785572720862962</v>
      </c>
      <c r="BC303" s="41" t="str">
        <f t="shared" si="296"/>
        <v>-0.537256951717751+0.191385101955709i</v>
      </c>
      <c r="BD303">
        <f t="shared" si="297"/>
        <v>-4.8775159836565312</v>
      </c>
      <c r="BE303" s="43">
        <f t="shared" si="298"/>
        <v>160.39275937467036</v>
      </c>
      <c r="BF303" s="41" t="str">
        <f t="shared" si="299"/>
        <v>0.256101105996427+1.02029068691961i</v>
      </c>
      <c r="BG303" s="20">
        <f t="shared" si="300"/>
        <v>0.43983155064717216</v>
      </c>
      <c r="BH303" s="43">
        <f t="shared" si="301"/>
        <v>75.909413584725016</v>
      </c>
      <c r="BI303" s="41" t="str">
        <f t="shared" si="255"/>
        <v>0.399939279283604+4.71460705386104i</v>
      </c>
      <c r="BJ303" s="20">
        <f t="shared" si="302"/>
        <v>13.500050382153859</v>
      </c>
      <c r="BK303" s="43">
        <f t="shared" si="256"/>
        <v>85.151217733776718</v>
      </c>
      <c r="BL303">
        <f t="shared" si="303"/>
        <v>0.43983155064717216</v>
      </c>
      <c r="BM303" s="43">
        <f t="shared" si="304"/>
        <v>75.909413584725016</v>
      </c>
    </row>
    <row r="304" spans="14:65" x14ac:dyDescent="0.25">
      <c r="N304" s="9">
        <v>86</v>
      </c>
      <c r="O304" s="34">
        <f t="shared" si="305"/>
        <v>7244.3596007499036</v>
      </c>
      <c r="P304" s="33" t="str">
        <f t="shared" si="257"/>
        <v>19.6196196196196</v>
      </c>
      <c r="Q304" s="4" t="str">
        <f t="shared" si="258"/>
        <v>1+11.0178693237826i</v>
      </c>
      <c r="R304" s="4">
        <f t="shared" si="270"/>
        <v>11.063157073636335</v>
      </c>
      <c r="S304" s="4">
        <f t="shared" si="271"/>
        <v>1.4802826738521424</v>
      </c>
      <c r="T304" s="4" t="str">
        <f t="shared" si="259"/>
        <v>1+0.171146378300623i</v>
      </c>
      <c r="U304" s="4">
        <f t="shared" si="272"/>
        <v>1.0145398379587762</v>
      </c>
      <c r="V304" s="4">
        <f t="shared" si="273"/>
        <v>0.16950412423055686</v>
      </c>
      <c r="W304" t="str">
        <f t="shared" si="260"/>
        <v>1-0.0995698676948439i</v>
      </c>
      <c r="X304" s="4">
        <f t="shared" si="274"/>
        <v>1.0049448534883736</v>
      </c>
      <c r="Y304" s="4">
        <f t="shared" si="275"/>
        <v>-9.9242760809848327E-2</v>
      </c>
      <c r="Z304" t="str">
        <f t="shared" si="261"/>
        <v>0.999947519253975+0.0666508502120587i</v>
      </c>
      <c r="AA304" s="4">
        <f t="shared" si="276"/>
        <v>1.0021663420291906</v>
      </c>
      <c r="AB304" s="4">
        <f t="shared" si="277"/>
        <v>6.6555899887240172E-2</v>
      </c>
      <c r="AC304" s="47" t="str">
        <f t="shared" si="278"/>
        <v>0.169738089013707-1.79619093394586i</v>
      </c>
      <c r="AD304" s="20">
        <f t="shared" si="279"/>
        <v>5.1256605486310001</v>
      </c>
      <c r="AE304" s="43">
        <f t="shared" si="280"/>
        <v>-84.601642276460936</v>
      </c>
      <c r="AF304" t="str">
        <f t="shared" si="262"/>
        <v>72.2956529813786</v>
      </c>
      <c r="AG304" t="str">
        <f t="shared" si="263"/>
        <v>1+8.98518486078271i</v>
      </c>
      <c r="AH304">
        <f t="shared" si="281"/>
        <v>9.040660760278465</v>
      </c>
      <c r="AI304">
        <f t="shared" si="282"/>
        <v>1.4599581389322722</v>
      </c>
      <c r="AJ304" t="str">
        <f t="shared" si="264"/>
        <v>1+0.171146378300623i</v>
      </c>
      <c r="AK304">
        <f t="shared" si="283"/>
        <v>1.0145398379587762</v>
      </c>
      <c r="AL304">
        <f t="shared" si="284"/>
        <v>0.16950412423055686</v>
      </c>
      <c r="AM304" t="str">
        <f t="shared" si="265"/>
        <v>1-0.0220361393923546i</v>
      </c>
      <c r="AN304">
        <f t="shared" si="285"/>
        <v>1.0002427662519331</v>
      </c>
      <c r="AO304">
        <f t="shared" si="286"/>
        <v>-2.203257357766622E-2</v>
      </c>
      <c r="AP304" s="41" t="str">
        <f t="shared" si="287"/>
        <v>2.07294075347175-7.84573378731123i</v>
      </c>
      <c r="AQ304">
        <f t="shared" si="288"/>
        <v>18.185730717799856</v>
      </c>
      <c r="AR304" s="43">
        <f t="shared" si="289"/>
        <v>-75.199942175933103</v>
      </c>
      <c r="AS304" t="str">
        <f t="shared" si="266"/>
        <v>-0.0000166666666666667</v>
      </c>
      <c r="AT304" t="str">
        <f t="shared" si="267"/>
        <v>0.000154760022931414i</v>
      </c>
      <c r="AU304">
        <f t="shared" si="290"/>
        <v>1.54760022931414E-4</v>
      </c>
      <c r="AV304">
        <f t="shared" si="291"/>
        <v>1.5707963267948966</v>
      </c>
      <c r="AW304" t="str">
        <f t="shared" si="268"/>
        <v>1+0.154626147479052i</v>
      </c>
      <c r="AX304">
        <f t="shared" si="292"/>
        <v>1.0118840079199856</v>
      </c>
      <c r="AY304">
        <f t="shared" si="293"/>
        <v>0.15341119803610351</v>
      </c>
      <c r="AZ304" t="str">
        <f t="shared" si="269"/>
        <v>1+5.25728901428776i</v>
      </c>
      <c r="BA304">
        <f t="shared" si="294"/>
        <v>5.3515500352468699</v>
      </c>
      <c r="BB304">
        <f t="shared" si="295"/>
        <v>1.3828296752864286</v>
      </c>
      <c r="BC304" s="41" t="str">
        <f t="shared" si="296"/>
        <v>-0.536692313187793+0.190680281964859i</v>
      </c>
      <c r="BD304">
        <f t="shared" si="297"/>
        <v>-4.8892235550005063</v>
      </c>
      <c r="BE304" s="43">
        <f t="shared" si="298"/>
        <v>160.4404900018441</v>
      </c>
      <c r="BF304" s="41" t="str">
        <f t="shared" si="299"/>
        <v>0.251401066118678+0.996367573939656i</v>
      </c>
      <c r="BG304" s="20">
        <f t="shared" si="300"/>
        <v>0.23643699363049625</v>
      </c>
      <c r="BH304" s="43">
        <f t="shared" si="301"/>
        <v>75.838847725383161</v>
      </c>
      <c r="BI304" s="41" t="str">
        <f t="shared" si="255"/>
        <v>0.383495362703727+4.60601394233613i</v>
      </c>
      <c r="BJ304" s="20">
        <f t="shared" si="302"/>
        <v>13.296507162799356</v>
      </c>
      <c r="BK304" s="43">
        <f t="shared" si="256"/>
        <v>85.24054782591098</v>
      </c>
      <c r="BL304">
        <f t="shared" si="303"/>
        <v>0.23643699363049625</v>
      </c>
      <c r="BM304" s="43">
        <f t="shared" si="304"/>
        <v>75.838847725383161</v>
      </c>
    </row>
    <row r="305" spans="14:65" x14ac:dyDescent="0.25">
      <c r="N305" s="9">
        <v>87</v>
      </c>
      <c r="O305" s="34">
        <f t="shared" si="305"/>
        <v>7413.1024130091773</v>
      </c>
      <c r="P305" s="33" t="str">
        <f t="shared" si="257"/>
        <v>19.6196196196196</v>
      </c>
      <c r="Q305" s="4" t="str">
        <f t="shared" si="258"/>
        <v>1+11.2745084688918i</v>
      </c>
      <c r="R305" s="4">
        <f t="shared" si="270"/>
        <v>11.318769421412952</v>
      </c>
      <c r="S305" s="4">
        <f t="shared" si="271"/>
        <v>1.4823321596473513</v>
      </c>
      <c r="T305" s="4" t="str">
        <f t="shared" si="259"/>
        <v>1+0.175132889569258i</v>
      </c>
      <c r="U305" s="4">
        <f t="shared" si="272"/>
        <v>1.0152199411993825</v>
      </c>
      <c r="V305" s="4">
        <f t="shared" si="273"/>
        <v>0.17337460430074328</v>
      </c>
      <c r="W305" t="str">
        <f t="shared" si="260"/>
        <v>1-0.101889147854456i</v>
      </c>
      <c r="X305" s="4">
        <f t="shared" si="274"/>
        <v>1.0051772970230213</v>
      </c>
      <c r="Y305" s="4">
        <f t="shared" si="275"/>
        <v>-0.1015387439409258</v>
      </c>
      <c r="Z305" t="str">
        <f t="shared" si="261"/>
        <v>0.999945045912614+0.0682033479515538i</v>
      </c>
      <c r="AA305" s="4">
        <f t="shared" si="276"/>
        <v>1.0022683231136162</v>
      </c>
      <c r="AB305" s="4">
        <f t="shared" si="277"/>
        <v>6.8101619275549918E-2</v>
      </c>
      <c r="AC305" s="47" t="str">
        <f t="shared" si="278"/>
        <v>0.162486818438227-1.75736383633374i</v>
      </c>
      <c r="AD305" s="20">
        <f t="shared" si="279"/>
        <v>4.9342035279599372</v>
      </c>
      <c r="AE305" s="43">
        <f t="shared" si="280"/>
        <v>-84.717420330492885</v>
      </c>
      <c r="AF305" t="str">
        <f t="shared" si="262"/>
        <v>72.2956529813786</v>
      </c>
      <c r="AG305" t="str">
        <f t="shared" si="263"/>
        <v>1+9.19447670238606i</v>
      </c>
      <c r="AH305">
        <f t="shared" si="281"/>
        <v>9.2486973045245708</v>
      </c>
      <c r="AI305">
        <f t="shared" si="282"/>
        <v>1.4624612032769144</v>
      </c>
      <c r="AJ305" t="str">
        <f t="shared" si="264"/>
        <v>1+0.175132889569258i</v>
      </c>
      <c r="AK305">
        <f t="shared" si="283"/>
        <v>1.0152199411993825</v>
      </c>
      <c r="AL305">
        <f t="shared" si="284"/>
        <v>0.17337460430074328</v>
      </c>
      <c r="AM305" t="str">
        <f t="shared" si="265"/>
        <v>1-0.0225494270171183i</v>
      </c>
      <c r="AN305">
        <f t="shared" si="285"/>
        <v>1.0002542060190502</v>
      </c>
      <c r="AO305">
        <f t="shared" si="286"/>
        <v>-2.2545606230283292E-2</v>
      </c>
      <c r="AP305" s="41" t="str">
        <f t="shared" si="287"/>
        <v>2.03425059330197-7.67274862756332i</v>
      </c>
      <c r="AQ305">
        <f t="shared" si="288"/>
        <v>17.994042894040557</v>
      </c>
      <c r="AR305" s="43">
        <f t="shared" si="289"/>
        <v>-75.150989631766961</v>
      </c>
      <c r="AS305" t="str">
        <f t="shared" si="266"/>
        <v>-0.0000166666666666667</v>
      </c>
      <c r="AT305" t="str">
        <f t="shared" si="267"/>
        <v>0.000158364846950925i</v>
      </c>
      <c r="AU305">
        <f t="shared" si="290"/>
        <v>1.5836484695092501E-4</v>
      </c>
      <c r="AV305">
        <f t="shared" si="291"/>
        <v>1.5707963267948966</v>
      </c>
      <c r="AW305" t="str">
        <f t="shared" si="268"/>
        <v>1+0.158227853138684i</v>
      </c>
      <c r="AX305">
        <f t="shared" si="292"/>
        <v>1.0124406419681486</v>
      </c>
      <c r="AY305">
        <f t="shared" si="293"/>
        <v>0.1569268737601581</v>
      </c>
      <c r="AZ305" t="str">
        <f t="shared" si="269"/>
        <v>1+5.37974700671525i</v>
      </c>
      <c r="BA305">
        <f t="shared" si="294"/>
        <v>5.4718989259910211</v>
      </c>
      <c r="BB305">
        <f t="shared" si="295"/>
        <v>1.3870115473681324</v>
      </c>
      <c r="BC305" s="41" t="str">
        <f t="shared" si="296"/>
        <v>-0.536102334715126+0.19006853266694i</v>
      </c>
      <c r="BD305">
        <f t="shared" si="297"/>
        <v>-4.9008307917401055</v>
      </c>
      <c r="BE305" s="43">
        <f t="shared" si="298"/>
        <v>160.47866024146441</v>
      </c>
      <c r="BF305" s="41" t="str">
        <f t="shared" si="299"/>
        <v>0.246910003008732+0.973010486760722i</v>
      </c>
      <c r="BG305" s="20">
        <f t="shared" si="300"/>
        <v>3.337273621983318E-2</v>
      </c>
      <c r="BH305" s="43">
        <f t="shared" si="301"/>
        <v>75.76123991097154</v>
      </c>
      <c r="BI305" s="41" t="str">
        <f t="shared" si="255"/>
        <v>0.367781580698421+4.50002547826473i</v>
      </c>
      <c r="BJ305" s="20">
        <f t="shared" si="302"/>
        <v>13.093212102300448</v>
      </c>
      <c r="BK305" s="43">
        <f t="shared" si="256"/>
        <v>85.327670609697464</v>
      </c>
      <c r="BL305">
        <f t="shared" si="303"/>
        <v>3.337273621983318E-2</v>
      </c>
      <c r="BM305" s="43">
        <f t="shared" si="304"/>
        <v>75.76123991097154</v>
      </c>
    </row>
    <row r="306" spans="14:65" x14ac:dyDescent="0.25">
      <c r="N306" s="9">
        <v>88</v>
      </c>
      <c r="O306" s="34">
        <f t="shared" si="305"/>
        <v>7585.7757502918394</v>
      </c>
      <c r="P306" s="33" t="str">
        <f t="shared" si="257"/>
        <v>19.6196196196196</v>
      </c>
      <c r="Q306" s="4" t="str">
        <f t="shared" si="258"/>
        <v>1+11.537125507627i</v>
      </c>
      <c r="R306" s="4">
        <f t="shared" si="270"/>
        <v>11.580382764776713</v>
      </c>
      <c r="S306" s="4">
        <f t="shared" si="271"/>
        <v>1.4843357136992958</v>
      </c>
      <c r="T306" s="4" t="str">
        <f t="shared" si="259"/>
        <v>1+0.179212258614101i</v>
      </c>
      <c r="U306" s="4">
        <f t="shared" si="272"/>
        <v>1.0159316087402575</v>
      </c>
      <c r="V306" s="4">
        <f t="shared" si="273"/>
        <v>0.17732981401674797</v>
      </c>
      <c r="W306" t="str">
        <f t="shared" si="260"/>
        <v>1-0.104262450988922i</v>
      </c>
      <c r="X306" s="4">
        <f t="shared" si="274"/>
        <v>1.0054206376866437</v>
      </c>
      <c r="Y306" s="4">
        <f t="shared" si="275"/>
        <v>-0.10388709567368534</v>
      </c>
      <c r="Z306" t="str">
        <f t="shared" si="261"/>
        <v>0.999942456006266+0.069792008008911i</v>
      </c>
      <c r="AA306" s="4">
        <f t="shared" si="276"/>
        <v>1.0023750993045264</v>
      </c>
      <c r="AB306" s="4">
        <f t="shared" si="277"/>
        <v>6.968301771130278E-2</v>
      </c>
      <c r="AC306" s="47" t="str">
        <f t="shared" si="278"/>
        <v>0.155548085126868-1.71941119480936i</v>
      </c>
      <c r="AD306" s="20">
        <f t="shared" si="279"/>
        <v>4.7429933515289662</v>
      </c>
      <c r="AE306" s="43">
        <f t="shared" si="280"/>
        <v>-84.830756797076049</v>
      </c>
      <c r="AF306" t="str">
        <f t="shared" si="262"/>
        <v>72.2956529813786</v>
      </c>
      <c r="AG306" t="str">
        <f t="shared" si="263"/>
        <v>1+9.40864357724031i</v>
      </c>
      <c r="AH306">
        <f t="shared" si="281"/>
        <v>9.461636960037378</v>
      </c>
      <c r="AI306">
        <f t="shared" si="282"/>
        <v>1.4649086085241014</v>
      </c>
      <c r="AJ306" t="str">
        <f t="shared" si="264"/>
        <v>1+0.179212258614101i</v>
      </c>
      <c r="AK306">
        <f t="shared" si="283"/>
        <v>1.0159316087402575</v>
      </c>
      <c r="AL306">
        <f t="shared" si="284"/>
        <v>0.17732981401674797</v>
      </c>
      <c r="AM306" t="str">
        <f t="shared" si="265"/>
        <v>1-0.0230746706465635i</v>
      </c>
      <c r="AN306">
        <f t="shared" si="285"/>
        <v>1.0002661847855536</v>
      </c>
      <c r="AO306">
        <f t="shared" si="286"/>
        <v>-2.3070576658548062E-2</v>
      </c>
      <c r="AP306" s="41" t="str">
        <f t="shared" si="287"/>
        <v>1.99726195756504-7.50345701206017i</v>
      </c>
      <c r="AQ306">
        <f t="shared" si="288"/>
        <v>17.802519286783614</v>
      </c>
      <c r="AR306" s="43">
        <f t="shared" si="289"/>
        <v>-75.0946773892815</v>
      </c>
      <c r="AS306" t="str">
        <f t="shared" si="266"/>
        <v>-0.0000166666666666667</v>
      </c>
      <c r="AT306" t="str">
        <f t="shared" si="267"/>
        <v>0.000162053638108496i</v>
      </c>
      <c r="AU306">
        <f t="shared" si="290"/>
        <v>1.62053638108496E-4</v>
      </c>
      <c r="AV306">
        <f t="shared" si="291"/>
        <v>1.5707963267948966</v>
      </c>
      <c r="AW306" t="str">
        <f t="shared" si="268"/>
        <v>1+0.161913453300444i</v>
      </c>
      <c r="AX306">
        <f t="shared" si="292"/>
        <v>1.0130231815509827</v>
      </c>
      <c r="AY306">
        <f t="shared" si="293"/>
        <v>0.16052039485661587</v>
      </c>
      <c r="AZ306" t="str">
        <f t="shared" si="269"/>
        <v>1+5.50505741221508i</v>
      </c>
      <c r="BA306">
        <f t="shared" si="294"/>
        <v>5.5951458525926014</v>
      </c>
      <c r="BB306">
        <f t="shared" si="295"/>
        <v>1.391104520267979</v>
      </c>
      <c r="BC306" s="41" t="str">
        <f t="shared" si="296"/>
        <v>-0.535485940062529+0.189548983732424i</v>
      </c>
      <c r="BD306">
        <f t="shared" si="297"/>
        <v>-4.9123601475978731</v>
      </c>
      <c r="BE306" s="43">
        <f t="shared" si="298"/>
        <v>160.50727672186866</v>
      </c>
      <c r="BF306" s="41" t="str">
        <f t="shared" si="299"/>
        <v>0.24261883200518+0.950204501463849i</v>
      </c>
      <c r="BG306" s="20">
        <f t="shared" si="300"/>
        <v>-0.16936679606890476</v>
      </c>
      <c r="BH306" s="43">
        <f t="shared" si="301"/>
        <v>75.676519924792629</v>
      </c>
      <c r="BI306" s="41" t="str">
        <f t="shared" ref="BI306:BI369" si="306">IMPRODUCT(AP306,BC306)</f>
        <v>0.352766954218093+4.3965747061257i</v>
      </c>
      <c r="BJ306" s="20">
        <f t="shared" si="302"/>
        <v>12.890159139185741</v>
      </c>
      <c r="BK306" s="43">
        <f t="shared" ref="BK306:BK369" si="307">(180/PI())*IMARGUMENT(BI306)</f>
        <v>85.412599332587178</v>
      </c>
      <c r="BL306">
        <f t="shared" si="303"/>
        <v>-0.16936679606890476</v>
      </c>
      <c r="BM306" s="43">
        <f t="shared" si="304"/>
        <v>75.676519924792629</v>
      </c>
    </row>
    <row r="307" spans="14:65" x14ac:dyDescent="0.25">
      <c r="N307" s="9">
        <v>89</v>
      </c>
      <c r="O307" s="34">
        <f t="shared" si="305"/>
        <v>7762.4711662869322</v>
      </c>
      <c r="P307" s="33" t="str">
        <f t="shared" si="257"/>
        <v>19.6196196196196</v>
      </c>
      <c r="Q307" s="4" t="str">
        <f t="shared" si="258"/>
        <v>1+11.8058596830183i</v>
      </c>
      <c r="R307" s="4">
        <f t="shared" si="270"/>
        <v>11.84813583881941</v>
      </c>
      <c r="S307" s="4">
        <f t="shared" si="271"/>
        <v>1.4862943339413874</v>
      </c>
      <c r="T307" s="4" t="str">
        <f t="shared" si="259"/>
        <v>1+0.183386648370616i</v>
      </c>
      <c r="U307" s="4">
        <f t="shared" si="272"/>
        <v>1.0166762822061937</v>
      </c>
      <c r="V307" s="4">
        <f t="shared" si="273"/>
        <v>0.18137135524508724</v>
      </c>
      <c r="W307" t="str">
        <f t="shared" si="260"/>
        <v>1-0.10669103545498i</v>
      </c>
      <c r="X307" s="4">
        <f t="shared" si="274"/>
        <v>1.0056753835340984</v>
      </c>
      <c r="Y307" s="4">
        <f t="shared" si="275"/>
        <v>-0.10628895747394794</v>
      </c>
      <c r="Z307" t="str">
        <f t="shared" si="261"/>
        <v>0.999939744041393+0.0714176727127209i</v>
      </c>
      <c r="AA307" s="4">
        <f t="shared" si="276"/>
        <v>1.0024868955199702</v>
      </c>
      <c r="AB307" s="4">
        <f t="shared" si="277"/>
        <v>7.1300903143760058E-2</v>
      </c>
      <c r="AC307" s="47" t="str">
        <f t="shared" si="278"/>
        <v>0.148907836457929-1.68231657196018i</v>
      </c>
      <c r="AD307" s="20">
        <f t="shared" si="279"/>
        <v>4.5520473216067145</v>
      </c>
      <c r="AE307" s="43">
        <f t="shared" si="280"/>
        <v>-84.941728766649049</v>
      </c>
      <c r="AF307" t="str">
        <f t="shared" si="262"/>
        <v>72.2956529813786</v>
      </c>
      <c r="AG307" t="str">
        <f t="shared" si="263"/>
        <v>1+9.62779903945735i</v>
      </c>
      <c r="AH307">
        <f t="shared" si="281"/>
        <v>9.6795926744969947</v>
      </c>
      <c r="AI307">
        <f t="shared" si="282"/>
        <v>1.4673015349810357</v>
      </c>
      <c r="AJ307" t="str">
        <f t="shared" si="264"/>
        <v>1+0.183386648370616i</v>
      </c>
      <c r="AK307">
        <f t="shared" si="283"/>
        <v>1.0166762822061937</v>
      </c>
      <c r="AL307">
        <f t="shared" si="284"/>
        <v>0.18137135524508724</v>
      </c>
      <c r="AM307" t="str">
        <f t="shared" si="265"/>
        <v>1-0.0236121487718149i</v>
      </c>
      <c r="AN307">
        <f t="shared" si="285"/>
        <v>1.0002787279401788</v>
      </c>
      <c r="AO307">
        <f t="shared" si="286"/>
        <v>-2.3607762050637613E-2</v>
      </c>
      <c r="AP307" s="41" t="str">
        <f t="shared" si="287"/>
        <v>1.96190171131736-7.33779363346267i</v>
      </c>
      <c r="AQ307">
        <f t="shared" si="288"/>
        <v>17.611176554405368</v>
      </c>
      <c r="AR307" s="43">
        <f t="shared" si="289"/>
        <v>-75.030997176619863</v>
      </c>
      <c r="AS307" t="str">
        <f t="shared" si="266"/>
        <v>-0.0000166666666666667</v>
      </c>
      <c r="AT307" t="str">
        <f t="shared" si="267"/>
        <v>0.000165828352250025i</v>
      </c>
      <c r="AU307">
        <f t="shared" si="290"/>
        <v>1.6582835225002499E-4</v>
      </c>
      <c r="AV307">
        <f t="shared" si="291"/>
        <v>1.5707963267948966</v>
      </c>
      <c r="AW307" t="str">
        <f t="shared" si="268"/>
        <v>1+0.165684902118321i</v>
      </c>
      <c r="AX307">
        <f t="shared" si="292"/>
        <v>1.0136328165514166</v>
      </c>
      <c r="AY307">
        <f t="shared" si="293"/>
        <v>0.16419329523221449</v>
      </c>
      <c r="AZ307" t="str">
        <f t="shared" si="269"/>
        <v>1+5.63328667202292i</v>
      </c>
      <c r="BA307">
        <f t="shared" si="294"/>
        <v>5.7213563714552054</v>
      </c>
      <c r="BB307">
        <f t="shared" si="295"/>
        <v>1.3951102153273838</v>
      </c>
      <c r="BC307" s="41" t="str">
        <f t="shared" si="296"/>
        <v>-0.534842012998741+0.18912077798809i</v>
      </c>
      <c r="BD307">
        <f t="shared" si="297"/>
        <v>-4.9238339667717721</v>
      </c>
      <c r="BE307" s="43">
        <f t="shared" si="298"/>
        <v>160.52634445269521</v>
      </c>
      <c r="BF307" s="41" t="str">
        <f t="shared" si="299"/>
        <v>0.23851885190892+0.927935147727771i</v>
      </c>
      <c r="BG307" s="20">
        <f t="shared" si="300"/>
        <v>-0.37178664516505477</v>
      </c>
      <c r="BH307" s="43">
        <f t="shared" si="301"/>
        <v>75.584615686046149</v>
      </c>
      <c r="BI307" s="41" t="str">
        <f t="shared" si="306"/>
        <v>0.338421780089862+4.29559669587102i</v>
      </c>
      <c r="BJ307" s="20">
        <f t="shared" si="302"/>
        <v>12.687342587633587</v>
      </c>
      <c r="BK307" s="43">
        <f t="shared" si="307"/>
        <v>85.495347276075336</v>
      </c>
      <c r="BL307">
        <f t="shared" si="303"/>
        <v>-0.37178664516505477</v>
      </c>
      <c r="BM307" s="43">
        <f t="shared" si="304"/>
        <v>75.584615686046149</v>
      </c>
    </row>
    <row r="308" spans="14:65" x14ac:dyDescent="0.25">
      <c r="N308" s="9">
        <v>90</v>
      </c>
      <c r="O308" s="34">
        <f t="shared" si="305"/>
        <v>7943.2823472428154</v>
      </c>
      <c r="P308" s="33" t="str">
        <f t="shared" si="257"/>
        <v>19.6196196196196</v>
      </c>
      <c r="Q308" s="4" t="str">
        <f t="shared" si="258"/>
        <v>1+12.0808534814825i</v>
      </c>
      <c r="R308" s="4">
        <f t="shared" si="270"/>
        <v>12.122170632401108</v>
      </c>
      <c r="S308" s="4">
        <f t="shared" si="271"/>
        <v>1.4882089987174576</v>
      </c>
      <c r="T308" s="4" t="str">
        <f t="shared" si="259"/>
        <v>1+0.187658272155506i</v>
      </c>
      <c r="U308" s="4">
        <f t="shared" si="272"/>
        <v>1.0174554668919864</v>
      </c>
      <c r="V308" s="4">
        <f t="shared" si="273"/>
        <v>0.18550084248610937</v>
      </c>
      <c r="W308" t="str">
        <f t="shared" si="260"/>
        <v>1-0.109176188920258i</v>
      </c>
      <c r="X308" s="4">
        <f t="shared" si="274"/>
        <v>1.0059420660391689</v>
      </c>
      <c r="Y308" s="4">
        <f t="shared" si="275"/>
        <v>-0.10874549193057248</v>
      </c>
      <c r="Z308" t="str">
        <f t="shared" si="261"/>
        <v>0.999936904265552+0.0730812040119276i</v>
      </c>
      <c r="AA308" s="4">
        <f t="shared" si="276"/>
        <v>1.0026039471755577</v>
      </c>
      <c r="AB308" s="4">
        <f t="shared" si="277"/>
        <v>7.2956100706056307E-2</v>
      </c>
      <c r="AC308" s="47" t="str">
        <f t="shared" si="278"/>
        <v>0.142552596313362-1.64606373934901i</v>
      </c>
      <c r="AD308" s="20">
        <f t="shared" si="279"/>
        <v>4.3613831898256219</v>
      </c>
      <c r="AE308" s="43">
        <f t="shared" si="280"/>
        <v>-85.050413678209523</v>
      </c>
      <c r="AF308" t="str">
        <f t="shared" si="262"/>
        <v>72.2956529813786</v>
      </c>
      <c r="AG308" t="str">
        <f t="shared" si="263"/>
        <v>1+9.85205928816406i</v>
      </c>
      <c r="AH308">
        <f t="shared" si="281"/>
        <v>9.9026800522636158</v>
      </c>
      <c r="AI308">
        <f t="shared" si="282"/>
        <v>1.4696411417321313</v>
      </c>
      <c r="AJ308" t="str">
        <f t="shared" si="264"/>
        <v>1+0.187658272155506i</v>
      </c>
      <c r="AK308">
        <f t="shared" si="283"/>
        <v>1.0174554668919864</v>
      </c>
      <c r="AL308">
        <f t="shared" si="284"/>
        <v>0.18550084248610937</v>
      </c>
      <c r="AM308" t="str">
        <f t="shared" si="265"/>
        <v>1-0.0241621463708887i</v>
      </c>
      <c r="AN308">
        <f t="shared" si="285"/>
        <v>1.000291862066891</v>
      </c>
      <c r="AO308">
        <f t="shared" si="286"/>
        <v>-2.415744598852974E-2</v>
      </c>
      <c r="AP308" s="41" t="str">
        <f t="shared" si="287"/>
        <v>1.92809971530219-7.17569353512497i</v>
      </c>
      <c r="AQ308">
        <f t="shared" si="288"/>
        <v>17.420031646552051</v>
      </c>
      <c r="AR308" s="43">
        <f t="shared" si="289"/>
        <v>-74.959939148421668</v>
      </c>
      <c r="AS308" t="str">
        <f t="shared" si="266"/>
        <v>-0.0000166666666666667</v>
      </c>
      <c r="AT308" t="str">
        <f t="shared" si="267"/>
        <v>0.000169690990778915i</v>
      </c>
      <c r="AU308">
        <f t="shared" si="290"/>
        <v>1.69690990778915E-4</v>
      </c>
      <c r="AV308">
        <f t="shared" si="291"/>
        <v>1.5707963267948966</v>
      </c>
      <c r="AW308" t="str">
        <f t="shared" si="268"/>
        <v>1+0.169544199264401i</v>
      </c>
      <c r="AX308">
        <f t="shared" si="292"/>
        <v>1.0142707900280905</v>
      </c>
      <c r="AY308">
        <f t="shared" si="293"/>
        <v>0.16794712572118481</v>
      </c>
      <c r="AZ308" t="str">
        <f t="shared" si="269"/>
        <v>1+5.76450277498961i</v>
      </c>
      <c r="BA308">
        <f t="shared" si="294"/>
        <v>5.8505975970718502</v>
      </c>
      <c r="BB308">
        <f t="shared" si="295"/>
        <v>1.3990302419747538</v>
      </c>
      <c r="BC308" s="41" t="str">
        <f t="shared" si="296"/>
        <v>-0.534169396355898+0.188783068788004i</v>
      </c>
      <c r="BD308">
        <f t="shared" si="297"/>
        <v>-4.9352745151498363</v>
      </c>
      <c r="BE308" s="43">
        <f t="shared" si="298"/>
        <v>160.53586679114281</v>
      </c>
      <c r="BF308" s="41" t="str">
        <f t="shared" si="299"/>
        <v>0.234601729813289+0.906188390607127i</v>
      </c>
      <c r="BG308" s="20">
        <f t="shared" si="300"/>
        <v>-0.57389132532421194</v>
      </c>
      <c r="BH308" s="43">
        <f t="shared" si="301"/>
        <v>75.485453112933271</v>
      </c>
      <c r="BI308" s="41" t="str">
        <f t="shared" si="306"/>
        <v>0.324717585206183+4.19702846527665i</v>
      </c>
      <c r="BJ308" s="20">
        <f t="shared" si="302"/>
        <v>12.484757131402217</v>
      </c>
      <c r="BK308" s="43">
        <f t="shared" si="307"/>
        <v>85.57592764272114</v>
      </c>
      <c r="BL308">
        <f t="shared" si="303"/>
        <v>-0.57389132532421194</v>
      </c>
      <c r="BM308" s="43">
        <f t="shared" si="304"/>
        <v>75.485453112933271</v>
      </c>
    </row>
    <row r="309" spans="14:65" x14ac:dyDescent="0.25">
      <c r="N309" s="9">
        <v>91</v>
      </c>
      <c r="O309" s="34">
        <f t="shared" si="305"/>
        <v>8128.3051616410066</v>
      </c>
      <c r="P309" s="33" t="str">
        <f t="shared" si="257"/>
        <v>19.6196196196196</v>
      </c>
      <c r="Q309" s="4" t="str">
        <f t="shared" si="258"/>
        <v>1+12.3622527083716i</v>
      </c>
      <c r="R309" s="4">
        <f t="shared" si="270"/>
        <v>12.40263246353938</v>
      </c>
      <c r="S309" s="4">
        <f t="shared" si="271"/>
        <v>1.4900806670244975</v>
      </c>
      <c r="T309" s="4" t="str">
        <f t="shared" si="259"/>
        <v>1+0.192029394840244i</v>
      </c>
      <c r="U309" s="4">
        <f t="shared" si="272"/>
        <v>1.0182707343740713</v>
      </c>
      <c r="V309" s="4">
        <f t="shared" si="273"/>
        <v>0.18971990162294192</v>
      </c>
      <c r="W309" t="str">
        <f t="shared" si="260"/>
        <v>1-0.11171922904602i</v>
      </c>
      <c r="X309" s="4">
        <f t="shared" si="274"/>
        <v>1.006221241148604</v>
      </c>
      <c r="Y309" s="4">
        <f t="shared" si="275"/>
        <v>-0.11125788287322856</v>
      </c>
      <c r="Z309" t="str">
        <f t="shared" si="261"/>
        <v>0.999933930655199+0.0747834839328459i</v>
      </c>
      <c r="AA309" s="4">
        <f t="shared" si="276"/>
        <v>1.0027265006693951</v>
      </c>
      <c r="AB309" s="4">
        <f t="shared" si="277"/>
        <v>7.4649453000660546E-2</v>
      </c>
      <c r="AC309" s="47" t="str">
        <f t="shared" si="278"/>
        <v>0.136469441474919-1.6106366842659i</v>
      </c>
      <c r="AD309" s="20">
        <f t="shared" si="279"/>
        <v>4.1710191836669459</v>
      </c>
      <c r="AE309" s="43">
        <f t="shared" si="280"/>
        <v>-85.156889428005414</v>
      </c>
      <c r="AF309" t="str">
        <f t="shared" si="262"/>
        <v>72.2956529813786</v>
      </c>
      <c r="AG309" t="str">
        <f t="shared" si="263"/>
        <v>1+10.0815432291128i</v>
      </c>
      <c r="AH309">
        <f t="shared" si="281"/>
        <v>10.131017415860569</v>
      </c>
      <c r="AI309">
        <f t="shared" si="282"/>
        <v>1.4719285667602426</v>
      </c>
      <c r="AJ309" t="str">
        <f t="shared" si="264"/>
        <v>1+0.192029394840244i</v>
      </c>
      <c r="AK309">
        <f t="shared" si="283"/>
        <v>1.0182707343740713</v>
      </c>
      <c r="AL309">
        <f t="shared" si="284"/>
        <v>0.18971990162294192</v>
      </c>
      <c r="AM309" t="str">
        <f t="shared" si="265"/>
        <v>1-0.0247249550597924i</v>
      </c>
      <c r="AN309">
        <f t="shared" si="285"/>
        <v>1.0003056150010898</v>
      </c>
      <c r="AO309">
        <f t="shared" si="286"/>
        <v>-2.4719918592456595E-2</v>
      </c>
      <c r="AP309" s="41" t="str">
        <f t="shared" si="287"/>
        <v>1.89578871623429-7.01709217536873i</v>
      </c>
      <c r="AQ309">
        <f t="shared" si="288"/>
        <v>17.229101829247941</v>
      </c>
      <c r="AR309" s="43">
        <f t="shared" si="289"/>
        <v>-74.881491972725101</v>
      </c>
      <c r="AS309" t="str">
        <f t="shared" si="266"/>
        <v>-0.0000166666666666667</v>
      </c>
      <c r="AT309" t="str">
        <f t="shared" si="267"/>
        <v>0.000173643601717242i</v>
      </c>
      <c r="AU309">
        <f t="shared" si="290"/>
        <v>1.73643601717242E-4</v>
      </c>
      <c r="AV309">
        <f t="shared" si="291"/>
        <v>1.5707963267948966</v>
      </c>
      <c r="AW309" t="str">
        <f t="shared" si="268"/>
        <v>1+0.173493390989113i</v>
      </c>
      <c r="AX309">
        <f t="shared" si="292"/>
        <v>1.0149384004543829</v>
      </c>
      <c r="AY309">
        <f t="shared" si="293"/>
        <v>0.1717834532717562</v>
      </c>
      <c r="AZ309" t="str">
        <f t="shared" si="269"/>
        <v>1+5.89877529362985i</v>
      </c>
      <c r="BA309">
        <f t="shared" si="294"/>
        <v>5.9829382384191403</v>
      </c>
      <c r="BB309">
        <f t="shared" si="295"/>
        <v>1.4028661965201803</v>
      </c>
      <c r="BC309" s="41" t="str">
        <f t="shared" si="296"/>
        <v>-0.533466891120658+0.188535017277012i</v>
      </c>
      <c r="BD309">
        <f t="shared" si="297"/>
        <v>-4.946704011622951</v>
      </c>
      <c r="BE309" s="43">
        <f t="shared" si="298"/>
        <v>160.53584541952225</v>
      </c>
      <c r="BF309" s="41" t="str">
        <f t="shared" si="299"/>
        <v>0.230859486418463+0.884950613186473i</v>
      </c>
      <c r="BG309" s="20">
        <f t="shared" si="300"/>
        <v>-0.77568482795600335</v>
      </c>
      <c r="BH309" s="43">
        <f t="shared" si="301"/>
        <v>75.378955991516861</v>
      </c>
      <c r="BI309" s="41" t="str">
        <f t="shared" si="306"/>
        <v>0.311627081846399+4.10080890586985i</v>
      </c>
      <c r="BJ309" s="20">
        <f t="shared" si="302"/>
        <v>12.282397817624995</v>
      </c>
      <c r="BK309" s="43">
        <f t="shared" si="307"/>
        <v>85.654353446797145</v>
      </c>
      <c r="BL309">
        <f t="shared" si="303"/>
        <v>-0.77568482795600335</v>
      </c>
      <c r="BM309" s="43">
        <f t="shared" si="304"/>
        <v>75.378955991516861</v>
      </c>
    </row>
    <row r="310" spans="14:65" x14ac:dyDescent="0.25">
      <c r="N310" s="9">
        <v>92</v>
      </c>
      <c r="O310" s="34">
        <f t="shared" si="305"/>
        <v>8317.6377110267094</v>
      </c>
      <c r="P310" s="33" t="str">
        <f t="shared" si="257"/>
        <v>19.6196196196196</v>
      </c>
      <c r="Q310" s="4" t="str">
        <f t="shared" si="258"/>
        <v>1+12.6502065652804i</v>
      </c>
      <c r="R310" s="4">
        <f t="shared" si="270"/>
        <v>12.68967005655637</v>
      </c>
      <c r="S310" s="4">
        <f t="shared" si="271"/>
        <v>1.4919102787628398</v>
      </c>
      <c r="T310" s="4" t="str">
        <f t="shared" si="259"/>
        <v>1+0.196502334051936i</v>
      </c>
      <c r="U310" s="4">
        <f t="shared" si="272"/>
        <v>1.0191237252109573</v>
      </c>
      <c r="V310" s="4">
        <f t="shared" si="273"/>
        <v>0.19403016855538979</v>
      </c>
      <c r="W310" t="str">
        <f t="shared" si="260"/>
        <v>1-0.1143215041858i</v>
      </c>
      <c r="X310" s="4">
        <f t="shared" si="274"/>
        <v>1.0065134903811792</v>
      </c>
      <c r="Y310" s="4">
        <f t="shared" si="275"/>
        <v>-0.11382733546810062</v>
      </c>
      <c r="Z310" t="str">
        <f t="shared" si="261"/>
        <v>0.999930816902908+0.0765254150468215i</v>
      </c>
      <c r="AA310" s="4">
        <f t="shared" si="276"/>
        <v>1.0028548138889324</v>
      </c>
      <c r="AB310" s="4">
        <f t="shared" si="277"/>
        <v>7.6381820383537136E-2</v>
      </c>
      <c r="AC310" s="47" t="str">
        <f t="shared" si="278"/>
        <v>0.130645978778127-1.57601961560919i</v>
      </c>
      <c r="AD310" s="20">
        <f t="shared" si="279"/>
        <v>3.9809740330789776</v>
      </c>
      <c r="AE310" s="43">
        <f t="shared" si="280"/>
        <v>-85.26123448390598</v>
      </c>
      <c r="AF310" t="str">
        <f t="shared" si="262"/>
        <v>72.2956529813786</v>
      </c>
      <c r="AG310" t="str">
        <f t="shared" si="263"/>
        <v>1+10.3163725377266i</v>
      </c>
      <c r="AH310">
        <f t="shared" si="281"/>
        <v>10.364725868886238</v>
      </c>
      <c r="AI310">
        <f t="shared" si="282"/>
        <v>1.474164927087702</v>
      </c>
      <c r="AJ310" t="str">
        <f t="shared" si="264"/>
        <v>1+0.196502334051936i</v>
      </c>
      <c r="AK310">
        <f t="shared" si="283"/>
        <v>1.0191237252109573</v>
      </c>
      <c r="AL310">
        <f t="shared" si="284"/>
        <v>0.19403016855538979</v>
      </c>
      <c r="AM310" t="str">
        <f t="shared" si="265"/>
        <v>1-0.0253008732471421i</v>
      </c>
      <c r="AN310">
        <f t="shared" si="285"/>
        <v>1.0003200158884495</v>
      </c>
      <c r="AO310">
        <f t="shared" si="286"/>
        <v>-2.5295476668401852E-2</v>
      </c>
      <c r="AP310" s="41" t="str">
        <f t="shared" si="287"/>
        <v>1.86490423992948-6.86192548604987i</v>
      </c>
      <c r="AQ310">
        <f t="shared" si="288"/>
        <v>17.038404709948445</v>
      </c>
      <c r="AR310" s="43">
        <f t="shared" si="289"/>
        <v>-74.79564292577129</v>
      </c>
      <c r="AS310" t="str">
        <f t="shared" si="266"/>
        <v>-0.0000166666666666667</v>
      </c>
      <c r="AT310" t="str">
        <f t="shared" si="267"/>
        <v>0.000177688280791644i</v>
      </c>
      <c r="AU310">
        <f t="shared" si="290"/>
        <v>1.7768828079164399E-4</v>
      </c>
      <c r="AV310">
        <f t="shared" si="291"/>
        <v>1.5707963267948966</v>
      </c>
      <c r="AW310" t="str">
        <f t="shared" si="268"/>
        <v>1+0.177534571206184i</v>
      </c>
      <c r="AX310">
        <f t="shared" si="292"/>
        <v>1.0156370040390235</v>
      </c>
      <c r="AY310">
        <f t="shared" si="293"/>
        <v>0.1757038600429332</v>
      </c>
      <c r="AZ310" t="str">
        <f t="shared" si="269"/>
        <v>1+6.03617542101026i</v>
      </c>
      <c r="BA310">
        <f t="shared" si="294"/>
        <v>6.1184486361502124</v>
      </c>
      <c r="BB310">
        <f t="shared" si="295"/>
        <v>1.4066196610566915</v>
      </c>
      <c r="BC310" s="41" t="str">
        <f t="shared" si="296"/>
        <v>-0.532733255566313+0.188375789541762i</v>
      </c>
      <c r="BD310">
        <f t="shared" si="297"/>
        <v>-4.9581446594570036</v>
      </c>
      <c r="BE310" s="43">
        <f t="shared" si="298"/>
        <v>160.52628033405335</v>
      </c>
      <c r="BF310" s="41" t="str">
        <f t="shared" si="299"/>
        <v>0.227284481822566+0.864208600062639i</v>
      </c>
      <c r="BG310" s="20">
        <f t="shared" si="300"/>
        <v>-0.9771706263780251</v>
      </c>
      <c r="BH310" s="43">
        <f t="shared" si="301"/>
        <v>75.265045850147402</v>
      </c>
      <c r="BI310" s="41" t="str">
        <f t="shared" si="306"/>
        <v>0.299124124154331+4.0068787122533i</v>
      </c>
      <c r="BJ310" s="20">
        <f t="shared" si="302"/>
        <v>12.08026005049145</v>
      </c>
      <c r="BK310" s="43">
        <f t="shared" si="307"/>
        <v>85.730637408282078</v>
      </c>
      <c r="BL310">
        <f t="shared" si="303"/>
        <v>-0.9771706263780251</v>
      </c>
      <c r="BM310" s="43">
        <f t="shared" si="304"/>
        <v>75.265045850147402</v>
      </c>
    </row>
    <row r="311" spans="14:65" x14ac:dyDescent="0.25">
      <c r="N311" s="9">
        <v>93</v>
      </c>
      <c r="O311" s="34">
        <f t="shared" si="305"/>
        <v>8511.3803820237772</v>
      </c>
      <c r="P311" s="33" t="str">
        <f t="shared" si="257"/>
        <v>19.6196196196196</v>
      </c>
      <c r="Q311" s="4" t="str">
        <f t="shared" si="258"/>
        <v>1+12.9448677291554i</v>
      </c>
      <c r="R311" s="4">
        <f t="shared" si="270"/>
        <v>12.98343562102608</v>
      </c>
      <c r="S311" s="4">
        <f t="shared" si="271"/>
        <v>1.4936987549928218</v>
      </c>
      <c r="T311" s="4" t="str">
        <f t="shared" si="259"/>
        <v>1+0.201079461402158i</v>
      </c>
      <c r="U311" s="4">
        <f t="shared" si="272"/>
        <v>1.0200161517337762</v>
      </c>
      <c r="V311" s="4">
        <f t="shared" si="273"/>
        <v>0.19843328771261159</v>
      </c>
      <c r="W311" t="str">
        <f t="shared" si="260"/>
        <v>1-0.116984394100325i</v>
      </c>
      <c r="X311" s="4">
        <f t="shared" si="274"/>
        <v>1.0068194219734838</v>
      </c>
      <c r="Y311" s="4">
        <f t="shared" si="275"/>
        <v>-0.11645507628949683</v>
      </c>
      <c r="Z311" t="str">
        <f t="shared" si="261"/>
        <v>0.999927556403992+0.0783079209487887i</v>
      </c>
      <c r="AA311" s="4">
        <f t="shared" si="276"/>
        <v>1.0029891567406799</v>
      </c>
      <c r="AB311" s="4">
        <f t="shared" si="277"/>
        <v>7.8154081246444906E-2</v>
      </c>
      <c r="AC311" s="47" t="str">
        <f t="shared" si="278"/>
        <v>0.125070323011318-1.54219696895556i</v>
      </c>
      <c r="AD311" s="20">
        <f t="shared" si="279"/>
        <v>3.7912669972058231</v>
      </c>
      <c r="AE311" s="43">
        <f t="shared" si="280"/>
        <v>-85.363528005602504</v>
      </c>
      <c r="AF311" t="str">
        <f t="shared" si="262"/>
        <v>72.2956529813786</v>
      </c>
      <c r="AG311" t="str">
        <f t="shared" si="263"/>
        <v>1+10.5566717236133i</v>
      </c>
      <c r="AH311">
        <f t="shared" si="281"/>
        <v>10.603929360389792</v>
      </c>
      <c r="AI311">
        <f t="shared" si="282"/>
        <v>1.4763513189353861</v>
      </c>
      <c r="AJ311" t="str">
        <f t="shared" si="264"/>
        <v>1+0.201079461402158i</v>
      </c>
      <c r="AK311">
        <f t="shared" si="283"/>
        <v>1.0200161517337762</v>
      </c>
      <c r="AL311">
        <f t="shared" si="284"/>
        <v>0.19843328771261159</v>
      </c>
      <c r="AM311" t="str">
        <f t="shared" si="265"/>
        <v>1-0.0258902062923841i</v>
      </c>
      <c r="AN311">
        <f t="shared" si="285"/>
        <v>1.0003350952465189</v>
      </c>
      <c r="AO311">
        <f t="shared" si="286"/>
        <v>-2.5884423858694581E-2</v>
      </c>
      <c r="AP311" s="41" t="str">
        <f t="shared" si="287"/>
        <v>1.83538448732077-6.71012992577525i</v>
      </c>
      <c r="AQ311">
        <f t="shared" si="288"/>
        <v>16.847958262514645</v>
      </c>
      <c r="AR311" s="43">
        <f t="shared" si="289"/>
        <v>-74.702377994963257</v>
      </c>
      <c r="AS311" t="str">
        <f t="shared" si="266"/>
        <v>-0.0000166666666666667</v>
      </c>
      <c r="AT311" t="str">
        <f t="shared" si="267"/>
        <v>0.000181827172544504i</v>
      </c>
      <c r="AU311">
        <f t="shared" si="290"/>
        <v>1.8182717254450401E-4</v>
      </c>
      <c r="AV311">
        <f t="shared" si="291"/>
        <v>1.5707963267948966</v>
      </c>
      <c r="AW311" t="str">
        <f t="shared" si="268"/>
        <v>1+0.181669882602857i</v>
      </c>
      <c r="AX311">
        <f t="shared" si="292"/>
        <v>1.0163680171300826</v>
      </c>
      <c r="AY311">
        <f t="shared" si="293"/>
        <v>0.17970994240608718</v>
      </c>
      <c r="AZ311" t="str">
        <f t="shared" si="269"/>
        <v>1+6.17677600849714i</v>
      </c>
      <c r="BA311">
        <f t="shared" si="294"/>
        <v>6.2572008006093158</v>
      </c>
      <c r="BB311">
        <f t="shared" si="295"/>
        <v>1.4102922024622933</v>
      </c>
      <c r="BC311" s="41" t="str">
        <f t="shared" si="296"/>
        <v>-0.531967204434079+0.188304553644387i</v>
      </c>
      <c r="BD311">
        <f t="shared" si="297"/>
        <v>-4.969618677683485</v>
      </c>
      <c r="BE311" s="43">
        <f t="shared" si="298"/>
        <v>160.507169844891</v>
      </c>
      <c r="BF311" s="41" t="str">
        <f t="shared" si="299"/>
        <v>0.223869401780905+0.843949521610805i</v>
      </c>
      <c r="BG311" s="20">
        <f t="shared" si="300"/>
        <v>-1.1783516804776597</v>
      </c>
      <c r="BH311" s="43">
        <f t="shared" si="301"/>
        <v>75.143641839288492</v>
      </c>
      <c r="BI311" s="41" t="str">
        <f t="shared" si="306"/>
        <v>0.287183665787247+3.91518031465488i</v>
      </c>
      <c r="BJ311" s="20">
        <f t="shared" si="302"/>
        <v>11.878339584831153</v>
      </c>
      <c r="BK311" s="43">
        <f t="shared" si="307"/>
        <v>85.80479184992771</v>
      </c>
      <c r="BL311">
        <f t="shared" si="303"/>
        <v>-1.1783516804776597</v>
      </c>
      <c r="BM311" s="43">
        <f t="shared" si="304"/>
        <v>75.143641839288492</v>
      </c>
    </row>
    <row r="312" spans="14:65" x14ac:dyDescent="0.25">
      <c r="N312" s="9">
        <v>94</v>
      </c>
      <c r="O312" s="34">
        <f t="shared" si="305"/>
        <v>8709.6358995608189</v>
      </c>
      <c r="P312" s="33" t="str">
        <f t="shared" si="257"/>
        <v>19.6196196196196</v>
      </c>
      <c r="Q312" s="4" t="str">
        <f t="shared" si="258"/>
        <v>1+13.246392433246i</v>
      </c>
      <c r="R312" s="4">
        <f t="shared" si="270"/>
        <v>13.28408493256336</v>
      </c>
      <c r="S312" s="4">
        <f t="shared" si="271"/>
        <v>1.4954469981970178</v>
      </c>
      <c r="T312" s="4" t="str">
        <f t="shared" si="259"/>
        <v>1+0.205763203744416i</v>
      </c>
      <c r="U312" s="4">
        <f t="shared" si="272"/>
        <v>1.020949800928119</v>
      </c>
      <c r="V312" s="4">
        <f t="shared" si="273"/>
        <v>0.20293091043826866</v>
      </c>
      <c r="W312" t="str">
        <f t="shared" si="260"/>
        <v>1-0.119709310689072i</v>
      </c>
      <c r="X312" s="4">
        <f t="shared" si="274"/>
        <v>1.007139672074163</v>
      </c>
      <c r="Y312" s="4">
        <f t="shared" si="275"/>
        <v>-0.11914235336514115</v>
      </c>
      <c r="Z312" t="str">
        <f t="shared" si="261"/>
        <v>0.999924142242497+0.0801319467469707i</v>
      </c>
      <c r="AA312" s="4">
        <f t="shared" si="276"/>
        <v>1.0031298117037759</v>
      </c>
      <c r="AB312" s="4">
        <f t="shared" si="277"/>
        <v>7.9967132296750745E-2</v>
      </c>
      <c r="AC312" s="47" t="str">
        <f t="shared" si="278"/>
        <v>0.119731075545785-1.50915341087493i</v>
      </c>
      <c r="AD312" s="20">
        <f t="shared" si="279"/>
        <v>3.6019178911969441</v>
      </c>
      <c r="AE312" s="43">
        <f t="shared" si="280"/>
        <v>-85.463849970784054</v>
      </c>
      <c r="AF312" t="str">
        <f t="shared" si="262"/>
        <v>72.2956529813786</v>
      </c>
      <c r="AG312" t="str">
        <f t="shared" si="263"/>
        <v>1+10.8025681965819i</v>
      </c>
      <c r="AH312">
        <f t="shared" si="281"/>
        <v>10.848754750744561</v>
      </c>
      <c r="AI312">
        <f t="shared" si="282"/>
        <v>1.4784888178981219</v>
      </c>
      <c r="AJ312" t="str">
        <f t="shared" si="264"/>
        <v>1+0.205763203744416i</v>
      </c>
      <c r="AK312">
        <f t="shared" si="283"/>
        <v>1.020949800928119</v>
      </c>
      <c r="AL312">
        <f t="shared" si="284"/>
        <v>0.20293091043826866</v>
      </c>
      <c r="AM312" t="str">
        <f t="shared" si="265"/>
        <v>1-0.0264932666676998i</v>
      </c>
      <c r="AN312">
        <f t="shared" si="285"/>
        <v>1.0003508850292111</v>
      </c>
      <c r="AO312">
        <f t="shared" si="286"/>
        <v>-2.648707079574265E-2</v>
      </c>
      <c r="AP312" s="41" t="str">
        <f t="shared" si="287"/>
        <v>1.80717023338758-6.5616425281103i</v>
      </c>
      <c r="AQ312">
        <f t="shared" si="288"/>
        <v>16.657780852082954</v>
      </c>
      <c r="AR312" s="43">
        <f t="shared" si="289"/>
        <v>-74.601681990248679</v>
      </c>
      <c r="AS312" t="str">
        <f t="shared" si="266"/>
        <v>-0.0000166666666666667</v>
      </c>
      <c r="AT312" t="str">
        <f t="shared" si="267"/>
        <v>0.000186062471471015i</v>
      </c>
      <c r="AU312">
        <f t="shared" si="290"/>
        <v>1.86062471471015E-4</v>
      </c>
      <c r="AV312">
        <f t="shared" si="291"/>
        <v>1.5707963267948966</v>
      </c>
      <c r="AW312" t="str">
        <f t="shared" si="268"/>
        <v>1+0.185901517775971i</v>
      </c>
      <c r="AX312">
        <f t="shared" si="292"/>
        <v>1.0171329187040452</v>
      </c>
      <c r="AY312">
        <f t="shared" si="293"/>
        <v>0.18380330984575072</v>
      </c>
      <c r="AZ312" t="str">
        <f t="shared" si="269"/>
        <v>1+6.32065160438301i</v>
      </c>
      <c r="BA312">
        <f t="shared" si="294"/>
        <v>6.3992684506894619</v>
      </c>
      <c r="BB312">
        <f t="shared" si="295"/>
        <v>1.4138853714971471</v>
      </c>
      <c r="BC312" s="41" t="str">
        <f t="shared" si="296"/>
        <v>-0.531167408172243+0.188320476534157i</v>
      </c>
      <c r="BD312">
        <f t="shared" si="297"/>
        <v>-4.9811483324713981</v>
      </c>
      <c r="BE312" s="43">
        <f t="shared" si="298"/>
        <v>160.47851058737618</v>
      </c>
      <c r="BF312" s="41" t="str">
        <f t="shared" si="299"/>
        <v>0.220607244423786+0.824160918991466i</v>
      </c>
      <c r="BG312" s="20">
        <f t="shared" si="300"/>
        <v>-1.37923044127445</v>
      </c>
      <c r="BH312" s="43">
        <f t="shared" si="301"/>
        <v>75.014660616592124</v>
      </c>
      <c r="BI312" s="41" t="str">
        <f t="shared" si="306"/>
        <v>0.275781718746014+3.825657814539i</v>
      </c>
      <c r="BJ312" s="20">
        <f t="shared" si="302"/>
        <v>11.676632519611545</v>
      </c>
      <c r="BK312" s="43">
        <f t="shared" si="307"/>
        <v>85.876828597127513</v>
      </c>
      <c r="BL312">
        <f t="shared" si="303"/>
        <v>-1.37923044127445</v>
      </c>
      <c r="BM312" s="43">
        <f t="shared" si="304"/>
        <v>75.014660616592124</v>
      </c>
    </row>
    <row r="313" spans="14:65" x14ac:dyDescent="0.25">
      <c r="N313" s="9">
        <v>95</v>
      </c>
      <c r="O313" s="34">
        <f t="shared" si="305"/>
        <v>8912.5093813374679</v>
      </c>
      <c r="P313" s="33" t="str">
        <f t="shared" si="257"/>
        <v>19.6196196196196</v>
      </c>
      <c r="Q313" s="4" t="str">
        <f t="shared" si="258"/>
        <v>1+13.5549405499415i</v>
      </c>
      <c r="R313" s="4">
        <f t="shared" si="270"/>
        <v>13.591777415498253</v>
      </c>
      <c r="S313" s="4">
        <f t="shared" si="271"/>
        <v>1.4971558925472064</v>
      </c>
      <c r="T313" s="4" t="str">
        <f t="shared" si="259"/>
        <v>1+0.210556044460898i</v>
      </c>
      <c r="U313" s="4">
        <f t="shared" si="272"/>
        <v>1.0219265374081543</v>
      </c>
      <c r="V313" s="4">
        <f t="shared" si="273"/>
        <v>0.20752469324173842</v>
      </c>
      <c r="W313" t="str">
        <f t="shared" si="260"/>
        <v>1-0.122497698738887i</v>
      </c>
      <c r="X313" s="4">
        <f t="shared" si="274"/>
        <v>1.0074749059883938</v>
      </c>
      <c r="Y313" s="4">
        <f t="shared" si="275"/>
        <v>-0.12189043619286143</v>
      </c>
      <c r="Z313" t="str">
        <f t="shared" si="261"/>
        <v>0.999920567176528+0.0819984595639897i</v>
      </c>
      <c r="AA313" s="4">
        <f t="shared" si="276"/>
        <v>1.0032770744084092</v>
      </c>
      <c r="AB313" s="4">
        <f t="shared" si="277"/>
        <v>8.1821888834099896E-2</v>
      </c>
      <c r="AC313" s="47" t="str">
        <f t="shared" si="278"/>
        <v>0.114617303681949-1.47687384254341i</v>
      </c>
      <c r="AD313" s="20">
        <f t="shared" si="279"/>
        <v>3.412947113066513</v>
      </c>
      <c r="AE313" s="43">
        <f t="shared" si="280"/>
        <v>-85.562281307440145</v>
      </c>
      <c r="AF313" t="str">
        <f t="shared" si="262"/>
        <v>72.2956529813786</v>
      </c>
      <c r="AG313" t="str">
        <f t="shared" si="263"/>
        <v>1+11.0541923341972i</v>
      </c>
      <c r="AH313">
        <f t="shared" si="281"/>
        <v>11.099331879055789</v>
      </c>
      <c r="AI313">
        <f t="shared" si="282"/>
        <v>1.4805784791348711</v>
      </c>
      <c r="AJ313" t="str">
        <f t="shared" si="264"/>
        <v>1+0.210556044460898i</v>
      </c>
      <c r="AK313">
        <f t="shared" si="283"/>
        <v>1.0219265374081543</v>
      </c>
      <c r="AL313">
        <f t="shared" si="284"/>
        <v>0.20752469324173842</v>
      </c>
      <c r="AM313" t="str">
        <f t="shared" si="265"/>
        <v>1-0.0271103741236824i</v>
      </c>
      <c r="AN313">
        <f t="shared" si="285"/>
        <v>1.0003674186943146</v>
      </c>
      <c r="AO313">
        <f t="shared" si="286"/>
        <v>-2.7103735258955479E-2</v>
      </c>
      <c r="AP313" s="41" t="str">
        <f t="shared" si="287"/>
        <v>1.78020472901105-6.4164009450999i</v>
      </c>
      <c r="AQ313">
        <f t="shared" si="288"/>
        <v>16.467891259797149</v>
      </c>
      <c r="AR313" s="43">
        <f t="shared" si="289"/>
        <v>-74.493538664205758</v>
      </c>
      <c r="AS313" t="str">
        <f t="shared" si="266"/>
        <v>-0.0000166666666666667</v>
      </c>
      <c r="AT313" t="str">
        <f t="shared" si="267"/>
        <v>0.000190396423182727i</v>
      </c>
      <c r="AU313">
        <f t="shared" si="290"/>
        <v>1.9039642318272699E-4</v>
      </c>
      <c r="AV313">
        <f t="shared" si="291"/>
        <v>1.5707963267948966</v>
      </c>
      <c r="AW313" t="str">
        <f t="shared" si="268"/>
        <v>1+0.190231720394507i</v>
      </c>
      <c r="AX313">
        <f t="shared" si="292"/>
        <v>1.0179332529415934</v>
      </c>
      <c r="AY313">
        <f t="shared" si="293"/>
        <v>0.18798558375381649</v>
      </c>
      <c r="AZ313" t="str">
        <f t="shared" si="269"/>
        <v>1+6.46787849341323i</v>
      </c>
      <c r="BA313">
        <f t="shared" si="294"/>
        <v>6.5447270535567332</v>
      </c>
      <c r="BB313">
        <f t="shared" si="295"/>
        <v>1.4174007019904762</v>
      </c>
      <c r="BC313" s="41" t="str">
        <f t="shared" si="296"/>
        <v>-0.530332492242826+0.188422720832659i</v>
      </c>
      <c r="BD313">
        <f t="shared" si="297"/>
        <v>-4.9927559684396812</v>
      </c>
      <c r="BE313" s="43">
        <f t="shared" si="298"/>
        <v>160.4402975445376</v>
      </c>
      <c r="BF313" s="41" t="str">
        <f t="shared" si="299"/>
        <v>0.217491307422813+0.804830689858542i</v>
      </c>
      <c r="BG313" s="20">
        <f t="shared" si="300"/>
        <v>-1.579808855373164</v>
      </c>
      <c r="BH313" s="43">
        <f t="shared" si="301"/>
        <v>74.878016237097427</v>
      </c>
      <c r="BI313" s="41" t="str">
        <f t="shared" si="306"/>
        <v>0.264895313390073+3.73825692312348i</v>
      </c>
      <c r="BJ313" s="20">
        <f t="shared" si="302"/>
        <v>11.475135291357464</v>
      </c>
      <c r="BK313" s="43">
        <f t="shared" si="307"/>
        <v>85.946758880331856</v>
      </c>
      <c r="BL313">
        <f t="shared" si="303"/>
        <v>-1.579808855373164</v>
      </c>
      <c r="BM313" s="43">
        <f t="shared" si="304"/>
        <v>74.878016237097427</v>
      </c>
    </row>
    <row r="314" spans="14:65" x14ac:dyDescent="0.25">
      <c r="N314" s="9">
        <v>96</v>
      </c>
      <c r="O314" s="34">
        <f t="shared" si="305"/>
        <v>9120.1083935591087</v>
      </c>
      <c r="P314" s="33" t="str">
        <f t="shared" si="257"/>
        <v>19.6196196196196</v>
      </c>
      <c r="Q314" s="4" t="str">
        <f t="shared" si="258"/>
        <v>1+13.8706756755373i</v>
      </c>
      <c r="R314" s="4">
        <f t="shared" si="270"/>
        <v>13.906676227479453</v>
      </c>
      <c r="S314" s="4">
        <f t="shared" si="271"/>
        <v>1.4988263041752929</v>
      </c>
      <c r="T314" s="4" t="str">
        <f t="shared" si="259"/>
        <v>1+0.215460524779192i</v>
      </c>
      <c r="U314" s="4">
        <f t="shared" si="272"/>
        <v>1.0229483064838247</v>
      </c>
      <c r="V314" s="4">
        <f t="shared" si="273"/>
        <v>0.21221629590889488</v>
      </c>
      <c r="W314" t="str">
        <f t="shared" si="260"/>
        <v>1-0.125351036690022i</v>
      </c>
      <c r="X314" s="4">
        <f t="shared" si="274"/>
        <v>1.0078258194744085</v>
      </c>
      <c r="Y314" s="4">
        <f t="shared" si="275"/>
        <v>-0.12470061572616337</v>
      </c>
      <c r="Z314" t="str">
        <f t="shared" si="261"/>
        <v>0.99991682362289+0.0839084490496474i</v>
      </c>
      <c r="AA314" s="4">
        <f t="shared" si="276"/>
        <v>1.0034312542401731</v>
      </c>
      <c r="AB314" s="4">
        <f t="shared" si="277"/>
        <v>8.3719285023216586E-2</v>
      </c>
      <c r="AC314" s="47" t="str">
        <f t="shared" si="278"/>
        <v>0.109718520695652-1.44534340270334i</v>
      </c>
      <c r="AD314" s="20">
        <f t="shared" si="279"/>
        <v>3.2243756705610851</v>
      </c>
      <c r="AE314" s="43">
        <f t="shared" si="280"/>
        <v>-85.658904032431536</v>
      </c>
      <c r="AF314" t="str">
        <f t="shared" si="262"/>
        <v>72.2956529813786</v>
      </c>
      <c r="AG314" t="str">
        <f t="shared" si="263"/>
        <v>1+11.3116775509076i</v>
      </c>
      <c r="AH314">
        <f t="shared" si="281"/>
        <v>11.355793632138045</v>
      </c>
      <c r="AI314">
        <f t="shared" si="282"/>
        <v>1.4826213375722146</v>
      </c>
      <c r="AJ314" t="str">
        <f t="shared" si="264"/>
        <v>1+0.215460524779192i</v>
      </c>
      <c r="AK314">
        <f t="shared" si="283"/>
        <v>1.0229483064838247</v>
      </c>
      <c r="AL314">
        <f t="shared" si="284"/>
        <v>0.21221629590889488</v>
      </c>
      <c r="AM314" t="str">
        <f t="shared" si="265"/>
        <v>1-0.0277418558588737i</v>
      </c>
      <c r="AN314">
        <f t="shared" si="285"/>
        <v>1.0003847312741705</v>
      </c>
      <c r="AO314">
        <f t="shared" si="286"/>
        <v>-2.7734742334903108E-2</v>
      </c>
      <c r="AP314" s="41" t="str">
        <f t="shared" si="287"/>
        <v>1.75443360575701-6.27434348640986i</v>
      </c>
      <c r="AQ314">
        <f t="shared" si="288"/>
        <v>16.278308707367245</v>
      </c>
      <c r="AR314" s="43">
        <f t="shared" si="289"/>
        <v>-74.377930841122534</v>
      </c>
      <c r="AS314" t="str">
        <f t="shared" si="266"/>
        <v>-0.0000166666666666667</v>
      </c>
      <c r="AT314" t="str">
        <f t="shared" si="267"/>
        <v>0.000194831325598206i</v>
      </c>
      <c r="AU314">
        <f t="shared" si="290"/>
        <v>1.94831325598206E-4</v>
      </c>
      <c r="AV314">
        <f t="shared" si="291"/>
        <v>1.5707963267948966</v>
      </c>
      <c r="AW314" t="str">
        <f t="shared" si="268"/>
        <v>1+0.194662786389211i</v>
      </c>
      <c r="AX314">
        <f t="shared" si="292"/>
        <v>1.0187706318916008</v>
      </c>
      <c r="AY314">
        <f t="shared" si="293"/>
        <v>0.19225839611116932</v>
      </c>
      <c r="AZ314" t="str">
        <f t="shared" si="269"/>
        <v>1+6.61853473723316i</v>
      </c>
      <c r="BA314">
        <f t="shared" si="294"/>
        <v>6.6936538652638751</v>
      </c>
      <c r="BB314">
        <f t="shared" si="295"/>
        <v>1.4208397101119401</v>
      </c>
      <c r="BC314" s="41" t="str">
        <f t="shared" si="296"/>
        <v>-0.529461036506011+0.188610441488364i</v>
      </c>
      <c r="BD314">
        <f t="shared" si="297"/>
        <v>-5.0044640398716291</v>
      </c>
      <c r="BE314" s="43">
        <f t="shared" si="298"/>
        <v>160.39252408088115</v>
      </c>
      <c r="BF314" s="41" t="str">
        <f t="shared" si="299"/>
        <v>0.214515175594745+0.785947074730292i</v>
      </c>
      <c r="BG314" s="20">
        <f t="shared" si="300"/>
        <v>-1.7800883693105465</v>
      </c>
      <c r="BH314" s="43">
        <f t="shared" si="301"/>
        <v>74.733620048449623</v>
      </c>
      <c r="BI314" s="41" t="str">
        <f t="shared" si="306"/>
        <v>0.25450245963632+3.65292490265315i</v>
      </c>
      <c r="BJ314" s="20">
        <f t="shared" si="302"/>
        <v>11.273844667495602</v>
      </c>
      <c r="BK314" s="43">
        <f t="shared" si="307"/>
        <v>86.014593239758625</v>
      </c>
      <c r="BL314">
        <f t="shared" si="303"/>
        <v>-1.7800883693105465</v>
      </c>
      <c r="BM314" s="43">
        <f t="shared" si="304"/>
        <v>74.733620048449623</v>
      </c>
    </row>
    <row r="315" spans="14:65" x14ac:dyDescent="0.25">
      <c r="N315" s="9">
        <v>97</v>
      </c>
      <c r="O315" s="34">
        <f t="shared" si="305"/>
        <v>9332.5430079699217</v>
      </c>
      <c r="P315" s="33" t="str">
        <f t="shared" si="257"/>
        <v>19.6196196196196</v>
      </c>
      <c r="Q315" s="4" t="str">
        <f t="shared" si="258"/>
        <v>1+14.1937652169765i</v>
      </c>
      <c r="R315" s="4">
        <f t="shared" si="270"/>
        <v>14.228948346053265</v>
      </c>
      <c r="S315" s="4">
        <f t="shared" si="271"/>
        <v>1.5004590814474705</v>
      </c>
      <c r="T315" s="4" t="str">
        <f t="shared" si="259"/>
        <v>1+0.220479245119681i</v>
      </c>
      <c r="U315" s="4">
        <f t="shared" si="272"/>
        <v>1.0240171373217073</v>
      </c>
      <c r="V315" s="4">
        <f t="shared" si="273"/>
        <v>0.21700737946592974</v>
      </c>
      <c r="W315" t="str">
        <f t="shared" si="260"/>
        <v>1-0.128270837420027i</v>
      </c>
      <c r="X315" s="4">
        <f t="shared" si="274"/>
        <v>1.0081931400939181</v>
      </c>
      <c r="Y315" s="4">
        <f t="shared" si="275"/>
        <v>-0.12757420432609987</v>
      </c>
      <c r="Z315" t="str">
        <f t="shared" si="261"/>
        <v>0.999912903641004+0.0858629279056509i</v>
      </c>
      <c r="AA315" s="4">
        <f t="shared" si="276"/>
        <v>1.0035926749714321</v>
      </c>
      <c r="AB315" s="4">
        <f t="shared" si="277"/>
        <v>8.5660274162060165E-2</v>
      </c>
      <c r="AC315" s="47" t="str">
        <f t="shared" si="278"/>
        <v>0.1050246665679-1.41454747001694i</v>
      </c>
      <c r="AD315" s="20">
        <f t="shared" si="279"/>
        <v>3.0362252079911634</v>
      </c>
      <c r="AE315" s="43">
        <f t="shared" si="280"/>
        <v>-85.753801396469314</v>
      </c>
      <c r="AF315" t="str">
        <f t="shared" si="262"/>
        <v>72.2956529813786</v>
      </c>
      <c r="AG315" t="str">
        <f t="shared" si="263"/>
        <v>1+11.5751603687833i</v>
      </c>
      <c r="AH315">
        <f t="shared" si="281"/>
        <v>11.618276015100154</v>
      </c>
      <c r="AI315">
        <f t="shared" si="282"/>
        <v>1.4846184081197704</v>
      </c>
      <c r="AJ315" t="str">
        <f t="shared" si="264"/>
        <v>1+0.220479245119681i</v>
      </c>
      <c r="AK315">
        <f t="shared" si="283"/>
        <v>1.0240171373217073</v>
      </c>
      <c r="AL315">
        <f t="shared" si="284"/>
        <v>0.21700737946592974</v>
      </c>
      <c r="AM315" t="str">
        <f t="shared" si="265"/>
        <v>1-0.0283880466932483i</v>
      </c>
      <c r="AN315">
        <f t="shared" si="285"/>
        <v>1.000402859449661</v>
      </c>
      <c r="AO315">
        <f t="shared" si="286"/>
        <v>-2.8380424580754435E-2</v>
      </c>
      <c r="AP315" s="41" t="str">
        <f t="shared" si="287"/>
        <v>1.7298047835771-6.1354091543789i</v>
      </c>
      <c r="AQ315">
        <f t="shared" si="288"/>
        <v>16.089052881412648</v>
      </c>
      <c r="AR315" s="43">
        <f t="shared" si="289"/>
        <v>-74.254840555368503</v>
      </c>
      <c r="AS315" t="str">
        <f t="shared" si="266"/>
        <v>-0.0000166666666666667</v>
      </c>
      <c r="AT315" t="str">
        <f t="shared" si="267"/>
        <v>0.000199369530161414i</v>
      </c>
      <c r="AU315">
        <f t="shared" si="290"/>
        <v>1.99369530161414E-4</v>
      </c>
      <c r="AV315">
        <f t="shared" si="291"/>
        <v>1.5707963267948966</v>
      </c>
      <c r="AW315" t="str">
        <f t="shared" si="268"/>
        <v>1+0.199197065169925i</v>
      </c>
      <c r="AX315">
        <f t="shared" si="292"/>
        <v>1.0196467382247203</v>
      </c>
      <c r="AY315">
        <f t="shared" si="293"/>
        <v>0.19662338805063231</v>
      </c>
      <c r="AZ315" t="str">
        <f t="shared" si="269"/>
        <v>1+6.77270021577744i</v>
      </c>
      <c r="BA315">
        <f t="shared" si="294"/>
        <v>6.8461279722768671</v>
      </c>
      <c r="BB315">
        <f t="shared" si="295"/>
        <v>1.4242038937224388</v>
      </c>
      <c r="BC315" s="41" t="str">
        <f t="shared" si="296"/>
        <v>-0.528551574693574+0.188882782296844i</v>
      </c>
      <c r="BD315">
        <f t="shared" si="297"/>
        <v>-5.0162951417887989</v>
      </c>
      <c r="BE315" s="43">
        <f t="shared" si="298"/>
        <v>160.33518198752978</v>
      </c>
      <c r="BF315" s="41" t="str">
        <f t="shared" si="299"/>
        <v>0.21167270893163+0.767498643987408i</v>
      </c>
      <c r="BG315" s="20">
        <f t="shared" si="300"/>
        <v>-1.9800699337976388</v>
      </c>
      <c r="BH315" s="43">
        <f t="shared" si="301"/>
        <v>74.581380591060494</v>
      </c>
      <c r="BI315" s="41" t="str">
        <f t="shared" si="306"/>
        <v>0.24458210933646+3.56961051028877i</v>
      </c>
      <c r="BJ315" s="20">
        <f t="shared" si="302"/>
        <v>11.072757739623849</v>
      </c>
      <c r="BK315" s="43">
        <f t="shared" si="307"/>
        <v>86.080341432161305</v>
      </c>
      <c r="BL315">
        <f t="shared" si="303"/>
        <v>-1.9800699337976388</v>
      </c>
      <c r="BM315" s="43">
        <f t="shared" si="304"/>
        <v>74.581380591060494</v>
      </c>
    </row>
    <row r="316" spans="14:65" x14ac:dyDescent="0.25">
      <c r="N316" s="9">
        <v>98</v>
      </c>
      <c r="O316" s="34">
        <f t="shared" si="305"/>
        <v>9549.9258602143691</v>
      </c>
      <c r="P316" s="33" t="str">
        <f t="shared" si="257"/>
        <v>19.6196196196196</v>
      </c>
      <c r="Q316" s="4" t="str">
        <f t="shared" si="258"/>
        <v>1+14.5243804806103i</v>
      </c>
      <c r="R316" s="4">
        <f t="shared" si="270"/>
        <v>14.558764657261737</v>
      </c>
      <c r="S316" s="4">
        <f t="shared" si="271"/>
        <v>1.5020550552409464</v>
      </c>
      <c r="T316" s="4" t="str">
        <f t="shared" si="259"/>
        <v>1+0.22561486647432i</v>
      </c>
      <c r="U316" s="4">
        <f t="shared" si="272"/>
        <v>1.0251351461998681</v>
      </c>
      <c r="V316" s="4">
        <f t="shared" si="273"/>
        <v>0.2218996039896505</v>
      </c>
      <c r="W316" t="str">
        <f t="shared" si="260"/>
        <v>1-0.131258649045898i</v>
      </c>
      <c r="X316" s="4">
        <f t="shared" si="274"/>
        <v>1.0085776286183201</v>
      </c>
      <c r="Y316" s="4">
        <f t="shared" si="275"/>
        <v>-0.13051253567664503</v>
      </c>
      <c r="Z316" t="str">
        <f t="shared" si="261"/>
        <v>0.999908798916064+0.0878629324225601i</v>
      </c>
      <c r="AA316" s="4">
        <f t="shared" si="276"/>
        <v>1.0037616754208425</v>
      </c>
      <c r="AB316" s="4">
        <f t="shared" si="277"/>
        <v>8.7645828944495074E-2</v>
      </c>
      <c r="AC316" s="47" t="str">
        <f t="shared" si="278"/>
        <v>0.100526089380873-1.3844716648572i</v>
      </c>
      <c r="AD316" s="20">
        <f t="shared" si="279"/>
        <v>2.8485180329763811</v>
      </c>
      <c r="AE316" s="43">
        <f t="shared" si="280"/>
        <v>-85.847058035632145</v>
      </c>
      <c r="AF316" t="str">
        <f t="shared" si="262"/>
        <v>72.2956529813786</v>
      </c>
      <c r="AG316" t="str">
        <f t="shared" si="263"/>
        <v>1+11.8447804899018i</v>
      </c>
      <c r="AH316">
        <f t="shared" si="281"/>
        <v>11.886918223574952</v>
      </c>
      <c r="AI316">
        <f t="shared" si="282"/>
        <v>1.4865706858962566</v>
      </c>
      <c r="AJ316" t="str">
        <f t="shared" si="264"/>
        <v>1+0.22561486647432i</v>
      </c>
      <c r="AK316">
        <f t="shared" si="283"/>
        <v>1.0251351461998681</v>
      </c>
      <c r="AL316">
        <f t="shared" si="284"/>
        <v>0.2218996039896505</v>
      </c>
      <c r="AM316" t="str">
        <f t="shared" si="265"/>
        <v>1-0.0290492892457398i</v>
      </c>
      <c r="AN316">
        <f t="shared" si="285"/>
        <v>1.000421841627662</v>
      </c>
      <c r="AO316">
        <f t="shared" si="286"/>
        <v>-2.9041122191041838E-2</v>
      </c>
      <c r="AP316" s="41" t="str">
        <f t="shared" si="287"/>
        <v>1.70626838140972-5.99953767525635i</v>
      </c>
      <c r="AQ316">
        <f t="shared" si="288"/>
        <v>15.900143957542694</v>
      </c>
      <c r="AR316" s="43">
        <f t="shared" si="289"/>
        <v>-74.124249199362595</v>
      </c>
      <c r="AS316" t="str">
        <f t="shared" si="266"/>
        <v>-0.0000166666666666667</v>
      </c>
      <c r="AT316" t="str">
        <f t="shared" si="267"/>
        <v>0.000204013443088481i</v>
      </c>
      <c r="AU316">
        <f t="shared" si="290"/>
        <v>2.0401344308848101E-4</v>
      </c>
      <c r="AV316">
        <f t="shared" si="291"/>
        <v>1.5707963267948966</v>
      </c>
      <c r="AW316" t="str">
        <f t="shared" si="268"/>
        <v>1+0.203836960871277i</v>
      </c>
      <c r="AX316">
        <f t="shared" si="292"/>
        <v>1.0205633280778015</v>
      </c>
      <c r="AY316">
        <f t="shared" si="293"/>
        <v>0.2010822082949785</v>
      </c>
      <c r="AZ316" t="str">
        <f t="shared" si="269"/>
        <v>1+6.9304566696234i</v>
      </c>
      <c r="BA316">
        <f t="shared" si="294"/>
        <v>7.002230333938428</v>
      </c>
      <c r="BB316">
        <f t="shared" si="295"/>
        <v>1.4274947317995004</v>
      </c>
      <c r="BC316" s="41" t="str">
        <f t="shared" si="296"/>
        <v>-0.527602593983306+0.189238872283272i</v>
      </c>
      <c r="BD316">
        <f t="shared" si="297"/>
        <v>-5.0282720408421628</v>
      </c>
      <c r="BE316" s="43">
        <f t="shared" si="298"/>
        <v>160.2682615387979</v>
      </c>
      <c r="BF316" s="41" t="str">
        <f t="shared" si="299"/>
        <v>0.208958031045374+0.749474285464529i</v>
      </c>
      <c r="BG316" s="20">
        <f t="shared" si="300"/>
        <v>-2.1797540078657822</v>
      </c>
      <c r="BH316" s="43">
        <f t="shared" si="301"/>
        <v>74.421203503165785</v>
      </c>
      <c r="BI316" s="41" t="str">
        <f t="shared" si="306"/>
        <v>0.23511411982305+3.4882639444764i</v>
      </c>
      <c r="BJ316" s="20">
        <f t="shared" si="302"/>
        <v>10.871871916700526</v>
      </c>
      <c r="BK316" s="43">
        <f t="shared" si="307"/>
        <v>86.144012339435307</v>
      </c>
      <c r="BL316">
        <f t="shared" si="303"/>
        <v>-2.1797540078657822</v>
      </c>
      <c r="BM316" s="43">
        <f t="shared" si="304"/>
        <v>74.421203503165785</v>
      </c>
    </row>
    <row r="317" spans="14:65" x14ac:dyDescent="0.25">
      <c r="N317" s="9">
        <v>99</v>
      </c>
      <c r="O317" s="34">
        <f t="shared" si="305"/>
        <v>9772.3722095581161</v>
      </c>
      <c r="P317" s="33" t="str">
        <f t="shared" si="257"/>
        <v>19.6196196196196</v>
      </c>
      <c r="Q317" s="4" t="str">
        <f t="shared" si="258"/>
        <v>1+14.8626967630279i</v>
      </c>
      <c r="R317" s="4">
        <f t="shared" si="270"/>
        <v>14.896300046310829</v>
      </c>
      <c r="S317" s="4">
        <f t="shared" si="271"/>
        <v>1.5036150392226313</v>
      </c>
      <c r="T317" s="4" t="str">
        <f t="shared" si="259"/>
        <v>1+0.23087011181753i</v>
      </c>
      <c r="U317" s="4">
        <f t="shared" si="272"/>
        <v>1.0263045398567809</v>
      </c>
      <c r="V317" s="4">
        <f t="shared" si="273"/>
        <v>0.22689462625773094</v>
      </c>
      <c r="W317" t="str">
        <f t="shared" si="260"/>
        <v>1-0.134316055744906i</v>
      </c>
      <c r="X317" s="4">
        <f t="shared" si="274"/>
        <v>1.0089800804926075</v>
      </c>
      <c r="Y317" s="4">
        <f t="shared" si="275"/>
        <v>-0.13351696466063265</v>
      </c>
      <c r="Z317" t="str">
        <f t="shared" si="261"/>
        <v>0.999904500741398+0.0899095230292433i</v>
      </c>
      <c r="AA317" s="4">
        <f t="shared" si="276"/>
        <v>1.003938610142199</v>
      </c>
      <c r="AB317" s="4">
        <f t="shared" si="277"/>
        <v>8.9676941716571368E-2</v>
      </c>
      <c r="AC317" s="47" t="str">
        <f t="shared" si="278"/>
        <v>0.0962135273625215-1.35510185057603i</v>
      </c>
      <c r="AD317" s="20">
        <f t="shared" si="279"/>
        <v>2.6612771430423372</v>
      </c>
      <c r="AE317" s="43">
        <f t="shared" si="280"/>
        <v>-85.938760129540185</v>
      </c>
      <c r="AF317" t="str">
        <f t="shared" si="262"/>
        <v>72.2956529813786</v>
      </c>
      <c r="AG317" t="str">
        <f t="shared" si="263"/>
        <v>1+12.1206808704203i</v>
      </c>
      <c r="AH317">
        <f t="shared" si="281"/>
        <v>12.161862717633866</v>
      </c>
      <c r="AI317">
        <f t="shared" si="282"/>
        <v>1.4884791464650171</v>
      </c>
      <c r="AJ317" t="str">
        <f t="shared" si="264"/>
        <v>1+0.23087011181753i</v>
      </c>
      <c r="AK317">
        <f t="shared" si="283"/>
        <v>1.0263045398567809</v>
      </c>
      <c r="AL317">
        <f t="shared" si="284"/>
        <v>0.22689462625773094</v>
      </c>
      <c r="AM317" t="str">
        <f t="shared" si="265"/>
        <v>1-0.0297259341159022i</v>
      </c>
      <c r="AN317">
        <f t="shared" si="285"/>
        <v>1.0004417180221259</v>
      </c>
      <c r="AO317">
        <f t="shared" si="286"/>
        <v>-2.9717183167794443E-2</v>
      </c>
      <c r="AP317" s="41" t="str">
        <f t="shared" si="287"/>
        <v>1.6837766306538-5.8666695268846i</v>
      </c>
      <c r="AQ317">
        <f t="shared" si="288"/>
        <v>15.711602624119783</v>
      </c>
      <c r="AR317" s="43">
        <f t="shared" si="289"/>
        <v>-73.986137681446223</v>
      </c>
      <c r="AS317" t="str">
        <f t="shared" si="266"/>
        <v>-0.0000166666666666667</v>
      </c>
      <c r="AT317" t="str">
        <f t="shared" si="267"/>
        <v>0.000208765526643511i</v>
      </c>
      <c r="AU317">
        <f t="shared" si="290"/>
        <v>2.08765526643511E-4</v>
      </c>
      <c r="AV317">
        <f t="shared" si="291"/>
        <v>1.5707963267948966</v>
      </c>
      <c r="AW317" t="str">
        <f t="shared" si="268"/>
        <v>1+0.208584933627384i</v>
      </c>
      <c r="AX317">
        <f t="shared" si="292"/>
        <v>1.0215222339902055</v>
      </c>
      <c r="AY317">
        <f t="shared" si="293"/>
        <v>0.20563651146363163</v>
      </c>
      <c r="AZ317" t="str">
        <f t="shared" si="269"/>
        <v>1+7.09188774333105i</v>
      </c>
      <c r="BA317">
        <f t="shared" si="294"/>
        <v>7.1620438258927992</v>
      </c>
      <c r="BB317">
        <f t="shared" si="295"/>
        <v>1.4307136839326076</v>
      </c>
      <c r="BC317" s="41" t="str">
        <f t="shared" si="296"/>
        <v>-0.526612534687354+0.189677821944512i</v>
      </c>
      <c r="BD317">
        <f t="shared" si="297"/>
        <v>-5.040417705974142</v>
      </c>
      <c r="BE317" s="43">
        <f t="shared" si="298"/>
        <v>160.19175156029274</v>
      </c>
      <c r="BF317" s="41" t="str">
        <f t="shared" si="299"/>
        <v>0.20636551801465+0.731863192603089i</v>
      </c>
      <c r="BG317" s="20">
        <f t="shared" si="300"/>
        <v>-2.3791405629318065</v>
      </c>
      <c r="BH317" s="43">
        <f t="shared" si="301"/>
        <v>74.252991430752587</v>
      </c>
      <c r="BI317" s="41" t="str">
        <f t="shared" si="306"/>
        <v>0.226079218611781+3.40883679366924i</v>
      </c>
      <c r="BJ317" s="20">
        <f t="shared" si="302"/>
        <v>10.671184918145638</v>
      </c>
      <c r="BK317" s="43">
        <f t="shared" si="307"/>
        <v>86.20561387884652</v>
      </c>
      <c r="BL317">
        <f t="shared" si="303"/>
        <v>-2.3791405629318065</v>
      </c>
      <c r="BM317" s="43">
        <f t="shared" si="304"/>
        <v>74.252991430752587</v>
      </c>
    </row>
    <row r="318" spans="14:65" x14ac:dyDescent="0.25">
      <c r="N318" s="9">
        <v>100</v>
      </c>
      <c r="O318" s="34">
        <f t="shared" si="305"/>
        <v>10000</v>
      </c>
      <c r="P318" s="33" t="str">
        <f t="shared" si="257"/>
        <v>19.6196196196196</v>
      </c>
      <c r="Q318" s="4" t="str">
        <f t="shared" si="258"/>
        <v>1+15.2088934440003i</v>
      </c>
      <c r="R318" s="4">
        <f t="shared" si="270"/>
        <v>15.24173349035323</v>
      </c>
      <c r="S318" s="4">
        <f t="shared" si="271"/>
        <v>1.50513983012921</v>
      </c>
      <c r="T318" s="4" t="str">
        <f t="shared" si="259"/>
        <v>1+0.236247767549952i</v>
      </c>
      <c r="U318" s="4">
        <f t="shared" si="272"/>
        <v>1.0275276189340783</v>
      </c>
      <c r="V318" s="4">
        <f t="shared" si="273"/>
        <v>0.23199409723245054</v>
      </c>
      <c r="W318" t="str">
        <f t="shared" si="260"/>
        <v>1-0.137444678594554i</v>
      </c>
      <c r="X318" s="4">
        <f t="shared" si="274"/>
        <v>1.0094013273589253</v>
      </c>
      <c r="Y318" s="4">
        <f t="shared" si="275"/>
        <v>-0.13658886719316415</v>
      </c>
      <c r="Z318" t="str">
        <f t="shared" si="261"/>
        <v>0.9999+0.0920037848551297i</v>
      </c>
      <c r="AA318" s="4">
        <f t="shared" si="276"/>
        <v>1.0041238501438301</v>
      </c>
      <c r="AB318" s="4">
        <f t="shared" si="277"/>
        <v>9.1754624725438522E-2</v>
      </c>
      <c r="AC318" s="47" t="str">
        <f t="shared" si="278"/>
        <v>0.0920780915618239-1.32642413428808i</v>
      </c>
      <c r="AD318" s="20">
        <f t="shared" si="279"/>
        <v>2.4745262520062243</v>
      </c>
      <c r="AE318" s="43">
        <f t="shared" si="280"/>
        <v>-86.028995566289893</v>
      </c>
      <c r="AF318" t="str">
        <f t="shared" si="262"/>
        <v>72.2956529813786</v>
      </c>
      <c r="AG318" t="str">
        <f t="shared" si="263"/>
        <v>1+12.4030077963725i</v>
      </c>
      <c r="AH318">
        <f t="shared" si="281"/>
        <v>12.443255297424264</v>
      </c>
      <c r="AI318">
        <f t="shared" si="282"/>
        <v>1.4903447460778803</v>
      </c>
      <c r="AJ318" t="str">
        <f t="shared" si="264"/>
        <v>1+0.236247767549952i</v>
      </c>
      <c r="AK318">
        <f t="shared" si="283"/>
        <v>1.0275276189340783</v>
      </c>
      <c r="AL318">
        <f t="shared" si="284"/>
        <v>0.23199409723245054</v>
      </c>
      <c r="AM318" t="str">
        <f t="shared" si="265"/>
        <v>1-0.0304183400698021i</v>
      </c>
      <c r="AN318">
        <f t="shared" si="285"/>
        <v>1.0004625307389587</v>
      </c>
      <c r="AO318">
        <f t="shared" si="286"/>
        <v>-3.040896349408129E-2</v>
      </c>
      <c r="AP318" s="41" t="str">
        <f t="shared" si="287"/>
        <v>1.6622837914819-5.73674596307294i</v>
      </c>
      <c r="AQ318">
        <f t="shared" si="288"/>
        <v>15.523450105646852</v>
      </c>
      <c r="AR318" s="43">
        <f t="shared" si="289"/>
        <v>-73.840486593970098</v>
      </c>
      <c r="AS318" t="str">
        <f t="shared" si="266"/>
        <v>-0.0000166666666666667</v>
      </c>
      <c r="AT318" t="str">
        <f t="shared" si="267"/>
        <v>0.000213628300444106i</v>
      </c>
      <c r="AU318">
        <f t="shared" si="290"/>
        <v>2.13628300444106E-4</v>
      </c>
      <c r="AV318">
        <f t="shared" si="291"/>
        <v>1.5707963267948966</v>
      </c>
      <c r="AW318" t="str">
        <f t="shared" si="268"/>
        <v>1+0.213443500876248i</v>
      </c>
      <c r="AX318">
        <f t="shared" si="292"/>
        <v>1.0225253679328983</v>
      </c>
      <c r="AY318">
        <f t="shared" si="293"/>
        <v>0.21028795624160032</v>
      </c>
      <c r="AZ318" t="str">
        <f t="shared" si="269"/>
        <v>1+7.25707902979242i</v>
      </c>
      <c r="BA318">
        <f t="shared" si="294"/>
        <v>7.3256532844964006</v>
      </c>
      <c r="BB318">
        <f t="shared" si="295"/>
        <v>1.4338621898840149</v>
      </c>
      <c r="BC318" s="41" t="str">
        <f t="shared" si="296"/>
        <v>-0.525579790068293+0.190198719348595i</v>
      </c>
      <c r="BD318">
        <f t="shared" si="297"/>
        <v>-5.0527553388034789</v>
      </c>
      <c r="BE318" s="43">
        <f t="shared" si="298"/>
        <v>160.1056395086645</v>
      </c>
      <c r="BF318" s="41" t="str">
        <f t="shared" si="299"/>
        <v>0.203889787621709+0.714654853135768i</v>
      </c>
      <c r="BG318" s="20">
        <f t="shared" si="300"/>
        <v>-2.5782290867972542</v>
      </c>
      <c r="BH318" s="43">
        <f t="shared" si="301"/>
        <v>74.076643942374631</v>
      </c>
      <c r="BI318" s="41" t="str">
        <f t="shared" si="306"/>
        <v>0.217458969243712+3.33128198728079i</v>
      </c>
      <c r="BJ318" s="20">
        <f t="shared" si="302"/>
        <v>10.470694766843383</v>
      </c>
      <c r="BK318" s="43">
        <f t="shared" si="307"/>
        <v>86.265152914694426</v>
      </c>
      <c r="BL318">
        <f t="shared" si="303"/>
        <v>-2.5782290867972542</v>
      </c>
      <c r="BM318" s="43">
        <f t="shared" si="304"/>
        <v>74.076643942374631</v>
      </c>
    </row>
    <row r="319" spans="14:65" x14ac:dyDescent="0.25">
      <c r="N319" s="9">
        <v>1</v>
      </c>
      <c r="O319" s="34">
        <f>10^(4+(N319/100))</f>
        <v>10232.929922807549</v>
      </c>
      <c r="P319" s="33" t="str">
        <f t="shared" si="257"/>
        <v>19.6196196196196</v>
      </c>
      <c r="Q319" s="4" t="str">
        <f t="shared" si="258"/>
        <v>1+15.5631540815902i</v>
      </c>
      <c r="R319" s="4">
        <f t="shared" si="270"/>
        <v>15.595248153438204</v>
      </c>
      <c r="S319" s="4">
        <f t="shared" si="271"/>
        <v>1.5066302080480849</v>
      </c>
      <c r="T319" s="4" t="str">
        <f t="shared" si="259"/>
        <v>1+0.241750684975839i</v>
      </c>
      <c r="U319" s="4">
        <f t="shared" si="272"/>
        <v>1.0288067815125868</v>
      </c>
      <c r="V319" s="4">
        <f t="shared" si="273"/>
        <v>0.23719965937159754</v>
      </c>
      <c r="W319" t="str">
        <f t="shared" si="260"/>
        <v>1-0.140646176432087i</v>
      </c>
      <c r="X319" s="4">
        <f t="shared" si="274"/>
        <v>1.0098422386417423</v>
      </c>
      <c r="Y319" s="4">
        <f t="shared" si="275"/>
        <v>-0.13972964000918361</v>
      </c>
      <c r="Z319" t="str">
        <f t="shared" si="261"/>
        <v>0.999895287145195+0.0941468283055603i</v>
      </c>
      <c r="AA319" s="4">
        <f t="shared" si="276"/>
        <v>1.0043177836398043</v>
      </c>
      <c r="AB319" s="4">
        <f t="shared" si="277"/>
        <v>9.3879910359847371E-2</v>
      </c>
      <c r="AC319" s="47" t="str">
        <f t="shared" si="278"/>
        <v>0.0881112491365693-1.29842486720516i</v>
      </c>
      <c r="AD319" s="20">
        <f t="shared" si="279"/>
        <v>2.2882898160750278</v>
      </c>
      <c r="AE319" s="43">
        <f t="shared" si="280"/>
        <v>-86.117854114233438</v>
      </c>
      <c r="AF319" t="str">
        <f t="shared" si="262"/>
        <v>72.2956529813786</v>
      </c>
      <c r="AG319" t="str">
        <f t="shared" si="263"/>
        <v>1+12.6919109612315i</v>
      </c>
      <c r="AH319">
        <f t="shared" si="281"/>
        <v>12.731245180571626</v>
      </c>
      <c r="AI319">
        <f t="shared" si="282"/>
        <v>1.4921684219263296</v>
      </c>
      <c r="AJ319" t="str">
        <f t="shared" si="264"/>
        <v>1+0.241750684975839i</v>
      </c>
      <c r="AK319">
        <f t="shared" si="283"/>
        <v>1.0288067815125868</v>
      </c>
      <c r="AL319">
        <f t="shared" si="284"/>
        <v>0.23719965937159754</v>
      </c>
      <c r="AM319" t="str">
        <f t="shared" si="265"/>
        <v>1-0.0311268742302413i</v>
      </c>
      <c r="AN319">
        <f t="shared" si="285"/>
        <v>1.0004843238648695</v>
      </c>
      <c r="AO319">
        <f t="shared" si="286"/>
        <v>-3.1116827311005683E-2</v>
      </c>
      <c r="AP319" s="41" t="str">
        <f t="shared" si="287"/>
        <v>1.6417460719525-5.60970903489339i</v>
      </c>
      <c r="AQ319">
        <f t="shared" si="288"/>
        <v>15.335708185711239</v>
      </c>
      <c r="AR319" s="43">
        <f t="shared" si="289"/>
        <v>-73.687276391899715</v>
      </c>
      <c r="AS319" t="str">
        <f t="shared" si="266"/>
        <v>-0.0000166666666666667</v>
      </c>
      <c r="AT319" t="str">
        <f t="shared" si="267"/>
        <v>0.000218604342797301i</v>
      </c>
      <c r="AU319">
        <f t="shared" si="290"/>
        <v>2.18604342797301E-4</v>
      </c>
      <c r="AV319">
        <f t="shared" si="291"/>
        <v>1.5707963267948966</v>
      </c>
      <c r="AW319" t="str">
        <f t="shared" si="268"/>
        <v>1+0.218415238694536i</v>
      </c>
      <c r="AX319">
        <f t="shared" si="292"/>
        <v>1.0235747244309967</v>
      </c>
      <c r="AY319">
        <f t="shared" si="293"/>
        <v>0.21503820340412166</v>
      </c>
      <c r="AZ319" t="str">
        <f t="shared" si="269"/>
        <v>1+7.4261181156142i</v>
      </c>
      <c r="BA319">
        <f t="shared" si="294"/>
        <v>7.4931455522399526</v>
      </c>
      <c r="BB319">
        <f t="shared" si="295"/>
        <v>1.4369416692108166</v>
      </c>
      <c r="BC319" s="41" t="str">
        <f t="shared" si="296"/>
        <v>-0.524502706297674+0.190800626090224i</v>
      </c>
      <c r="BD319">
        <f t="shared" si="297"/>
        <v>-5.0653084036805884</v>
      </c>
      <c r="BE319" s="43">
        <f t="shared" si="298"/>
        <v>160.00991156313142</v>
      </c>
      <c r="BF319" s="41" t="str">
        <f t="shared" si="299"/>
        <v>0.201525688966461+0.697839038274154i</v>
      </c>
      <c r="BG319" s="20">
        <f t="shared" si="300"/>
        <v>-2.7770185876055558</v>
      </c>
      <c r="BH319" s="43">
        <f t="shared" si="301"/>
        <v>73.892057448898029</v>
      </c>
      <c r="BI319" s="41" t="str">
        <f t="shared" si="306"/>
        <v>0.209235738248983+3.2555537487538i</v>
      </c>
      <c r="BJ319" s="20">
        <f t="shared" si="302"/>
        <v>10.270399782030653</v>
      </c>
      <c r="BK319" s="43">
        <f t="shared" si="307"/>
        <v>86.32263517123171</v>
      </c>
      <c r="BL319">
        <f t="shared" si="303"/>
        <v>-2.7770185876055558</v>
      </c>
      <c r="BM319" s="43">
        <f t="shared" si="304"/>
        <v>73.892057448898029</v>
      </c>
    </row>
    <row r="320" spans="14:65" x14ac:dyDescent="0.25">
      <c r="N320" s="9">
        <v>2</v>
      </c>
      <c r="O320" s="34">
        <f t="shared" ref="O320:O383" si="308">10^(4+(N320/100))</f>
        <v>10471.285480509003</v>
      </c>
      <c r="P320" s="33" t="str">
        <f t="shared" si="257"/>
        <v>19.6196196196196</v>
      </c>
      <c r="Q320" s="4" t="str">
        <f t="shared" si="258"/>
        <v>1+15.9256665094769i</v>
      </c>
      <c r="R320" s="4">
        <f t="shared" si="270"/>
        <v>15.957031483677474</v>
      </c>
      <c r="S320" s="4">
        <f t="shared" si="271"/>
        <v>1.508086936698702</v>
      </c>
      <c r="T320" s="4" t="str">
        <f t="shared" si="259"/>
        <v>1+0.247381781814848i</v>
      </c>
      <c r="U320" s="4">
        <f t="shared" si="272"/>
        <v>1.0301445267407332</v>
      </c>
      <c r="V320" s="4">
        <f t="shared" si="273"/>
        <v>0.24251294376035634</v>
      </c>
      <c r="W320" t="str">
        <f t="shared" si="260"/>
        <v>1-0.143922246734037i</v>
      </c>
      <c r="X320" s="4">
        <f t="shared" si="274"/>
        <v>1.0103037231966301</v>
      </c>
      <c r="Y320" s="4">
        <f t="shared" si="275"/>
        <v>-0.1429407004017858</v>
      </c>
      <c r="Z320" t="str">
        <f t="shared" si="261"/>
        <v>0.999890352180386+0.0963397896505393i</v>
      </c>
      <c r="AA320" s="4">
        <f t="shared" si="276"/>
        <v>1.004520816834239</v>
      </c>
      <c r="AB320" s="4">
        <f t="shared" si="277"/>
        <v>9.6053851381111846E-2</v>
      </c>
      <c r="AC320" s="47" t="str">
        <f t="shared" si="278"/>
        <v>0.0843048072353788-1.27109064455431i</v>
      </c>
      <c r="AD320" s="20">
        <f t="shared" si="279"/>
        <v>2.102593059575196</v>
      </c>
      <c r="AE320" s="43">
        <f t="shared" si="280"/>
        <v>-86.205427600667505</v>
      </c>
      <c r="AF320" t="str">
        <f t="shared" si="262"/>
        <v>72.2956529813786</v>
      </c>
      <c r="AG320" t="str">
        <f t="shared" si="263"/>
        <v>1+12.9875435452795i</v>
      </c>
      <c r="AH320">
        <f t="shared" si="281"/>
        <v>13.02598508138756</v>
      </c>
      <c r="AI320">
        <f t="shared" si="282"/>
        <v>1.493951092399016</v>
      </c>
      <c r="AJ320" t="str">
        <f t="shared" si="264"/>
        <v>1+0.247381781814848i</v>
      </c>
      <c r="AK320">
        <f t="shared" si="283"/>
        <v>1.0301445267407332</v>
      </c>
      <c r="AL320">
        <f t="shared" si="284"/>
        <v>0.24251294376035634</v>
      </c>
      <c r="AM320" t="str">
        <f t="shared" si="265"/>
        <v>1-0.0318519122714104i</v>
      </c>
      <c r="AN320">
        <f t="shared" si="285"/>
        <v>1.0005071435603774</v>
      </c>
      <c r="AO320">
        <f t="shared" si="286"/>
        <v>-3.1841147098188874E-2</v>
      </c>
      <c r="AP320" s="41" t="str">
        <f t="shared" si="287"/>
        <v>1.62212154987605-5.48550160911721i</v>
      </c>
      <c r="AQ320">
        <f t="shared" si="288"/>
        <v>15.148399229411389</v>
      </c>
      <c r="AR320" s="43">
        <f t="shared" si="289"/>
        <v>-73.526487582241955</v>
      </c>
      <c r="AS320" t="str">
        <f t="shared" si="266"/>
        <v>-0.0000166666666666667</v>
      </c>
      <c r="AT320" t="str">
        <f t="shared" si="267"/>
        <v>0.000223696292066618i</v>
      </c>
      <c r="AU320">
        <f t="shared" si="290"/>
        <v>2.23696292066618E-4</v>
      </c>
      <c r="AV320">
        <f t="shared" si="291"/>
        <v>1.5707963267948966</v>
      </c>
      <c r="AW320" t="str">
        <f t="shared" si="268"/>
        <v>1+0.223502783163447i</v>
      </c>
      <c r="AX320">
        <f t="shared" si="292"/>
        <v>1.0246723837802045</v>
      </c>
      <c r="AY320">
        <f t="shared" si="293"/>
        <v>0.21988891369045765</v>
      </c>
      <c r="AZ320" t="str">
        <f t="shared" si="269"/>
        <v>1+7.59909462755717i</v>
      </c>
      <c r="BA320">
        <f t="shared" si="294"/>
        <v>7.6646095242072336</v>
      </c>
      <c r="BB320">
        <f t="shared" si="295"/>
        <v>1.4399535209442089</v>
      </c>
      <c r="BC320" s="41" t="str">
        <f t="shared" si="296"/>
        <v>-0.523379582572704+0.191482573101719i</v>
      </c>
      <c r="BD320">
        <f t="shared" si="297"/>
        <v>-5.0781006573579068</v>
      </c>
      <c r="BE320" s="43">
        <f t="shared" si="298"/>
        <v>159.90455272892626</v>
      </c>
      <c r="BF320" s="41" t="str">
        <f t="shared" si="299"/>
        <v>0.199268292445057+0.681405792373179i</v>
      </c>
      <c r="BG320" s="20">
        <f t="shared" si="300"/>
        <v>-2.975507597782709</v>
      </c>
      <c r="BH320" s="43">
        <f t="shared" si="301"/>
        <v>73.699125128258771</v>
      </c>
      <c r="BI320" s="41" t="str">
        <f t="shared" si="306"/>
        <v>0.201392663211069+3.18160755063568i</v>
      </c>
      <c r="BJ320" s="20">
        <f t="shared" si="302"/>
        <v>10.070298572053494</v>
      </c>
      <c r="BK320" s="43">
        <f t="shared" si="307"/>
        <v>86.378065146684307</v>
      </c>
      <c r="BL320">
        <f t="shared" si="303"/>
        <v>-2.975507597782709</v>
      </c>
      <c r="BM320" s="43">
        <f t="shared" si="304"/>
        <v>73.699125128258771</v>
      </c>
    </row>
    <row r="321" spans="14:65" x14ac:dyDescent="0.25">
      <c r="N321" s="9">
        <v>3</v>
      </c>
      <c r="O321" s="34">
        <f t="shared" si="308"/>
        <v>10715.193052376071</v>
      </c>
      <c r="P321" s="33" t="str">
        <f t="shared" si="257"/>
        <v>19.6196196196196</v>
      </c>
      <c r="Q321" s="4" t="str">
        <f t="shared" si="258"/>
        <v>1+16.296622936548i</v>
      </c>
      <c r="R321" s="4">
        <f t="shared" si="270"/>
        <v>16.327275312679163</v>
      </c>
      <c r="S321" s="4">
        <f t="shared" si="271"/>
        <v>1.5095107637138232</v>
      </c>
      <c r="T321" s="4" t="str">
        <f t="shared" si="259"/>
        <v>1+0.25314404374906i</v>
      </c>
      <c r="U321" s="4">
        <f t="shared" si="272"/>
        <v>1.031543458554038</v>
      </c>
      <c r="V321" s="4">
        <f t="shared" si="273"/>
        <v>0.24793556705828843</v>
      </c>
      <c r="W321" t="str">
        <f t="shared" si="260"/>
        <v>1-0.147274626516242i</v>
      </c>
      <c r="X321" s="4">
        <f t="shared" si="274"/>
        <v>1.0107867310246501</v>
      </c>
      <c r="Y321" s="4">
        <f t="shared" si="275"/>
        <v>-0.14622348590758422</v>
      </c>
      <c r="Z321" t="str">
        <f t="shared" si="261"/>
        <v>0.99988518463785+0.0985838316271987i</v>
      </c>
      <c r="AA321" s="4">
        <f t="shared" si="276"/>
        <v>1.0047333747400686</v>
      </c>
      <c r="AB321" s="4">
        <f t="shared" si="277"/>
        <v>9.8277521143321431E-2</v>
      </c>
      <c r="AC321" s="47" t="str">
        <f t="shared" si="278"/>
        <v>0.0806508974557703-1.24440830510997i</v>
      </c>
      <c r="AD321" s="20">
        <f t="shared" si="279"/>
        <v>1.9174620002222085</v>
      </c>
      <c r="AE321" s="43">
        <f t="shared" si="280"/>
        <v>-86.291810097464264</v>
      </c>
      <c r="AF321" t="str">
        <f t="shared" si="262"/>
        <v>72.2956529813786</v>
      </c>
      <c r="AG321" t="str">
        <f t="shared" si="263"/>
        <v>1+13.2900622968257i</v>
      </c>
      <c r="AH321">
        <f t="shared" si="281"/>
        <v>13.327631291925359</v>
      </c>
      <c r="AI321">
        <f t="shared" si="282"/>
        <v>1.4956936573447159</v>
      </c>
      <c r="AJ321" t="str">
        <f t="shared" si="264"/>
        <v>1+0.25314404374906i</v>
      </c>
      <c r="AK321">
        <f t="shared" si="283"/>
        <v>1.031543458554038</v>
      </c>
      <c r="AL321">
        <f t="shared" si="284"/>
        <v>0.24793556705828843</v>
      </c>
      <c r="AM321" t="str">
        <f t="shared" si="265"/>
        <v>1-0.0325938386180756i</v>
      </c>
      <c r="AN321">
        <f t="shared" si="285"/>
        <v>1.0005310381571684</v>
      </c>
      <c r="AO321">
        <f t="shared" si="286"/>
        <v>-3.2582303857778605E-2</v>
      </c>
      <c r="AP321" s="41" t="str">
        <f t="shared" si="287"/>
        <v>1.60337009738542-5.36406738399821i</v>
      </c>
      <c r="AQ321">
        <f t="shared" si="288"/>
        <v>14.961546205186139</v>
      </c>
      <c r="AR321" s="43">
        <f t="shared" si="289"/>
        <v>-73.358100924579375</v>
      </c>
      <c r="AS321" t="str">
        <f t="shared" si="266"/>
        <v>-0.0000166666666666667</v>
      </c>
      <c r="AT321" t="str">
        <f t="shared" si="267"/>
        <v>0.000228906848070959i</v>
      </c>
      <c r="AU321">
        <f t="shared" si="290"/>
        <v>2.2890684807095899E-4</v>
      </c>
      <c r="AV321">
        <f t="shared" si="291"/>
        <v>1.5707963267948966</v>
      </c>
      <c r="AW321" t="str">
        <f t="shared" si="268"/>
        <v>1+0.2287088317664i</v>
      </c>
      <c r="AX321">
        <f t="shared" si="292"/>
        <v>1.025820515357317</v>
      </c>
      <c r="AY321">
        <f t="shared" si="293"/>
        <v>0.22484174552030922</v>
      </c>
      <c r="AZ321" t="str">
        <f t="shared" si="269"/>
        <v>1+7.77610028005758i</v>
      </c>
      <c r="BA321">
        <f t="shared" si="294"/>
        <v>7.8401361955970872</v>
      </c>
      <c r="BB321">
        <f t="shared" si="295"/>
        <v>1.4428991233221</v>
      </c>
      <c r="BC321" s="41" t="str">
        <f t="shared" si="296"/>
        <v>-0.522208671407701+0.192243556319867i</v>
      </c>
      <c r="BD321">
        <f t="shared" si="297"/>
        <v>-5.0911561782140247</v>
      </c>
      <c r="BE321" s="43">
        <f t="shared" si="298"/>
        <v>159.78954695281456</v>
      </c>
      <c r="BF321" s="41" t="str">
        <f t="shared" si="299"/>
        <v>0.197112880080102+0.665345423047473i</v>
      </c>
      <c r="BG321" s="20">
        <f t="shared" si="300"/>
        <v>-3.1736941779918109</v>
      </c>
      <c r="BH321" s="43">
        <f t="shared" si="301"/>
        <v>73.49773685535034</v>
      </c>
      <c r="BI321" s="41" t="str">
        <f t="shared" si="306"/>
        <v>0.193913621908745+3.10940007155739i</v>
      </c>
      <c r="BJ321" s="20">
        <f t="shared" si="302"/>
        <v>9.8703900269721085</v>
      </c>
      <c r="BK321" s="43">
        <f t="shared" si="307"/>
        <v>86.4314460282352</v>
      </c>
      <c r="BL321">
        <f t="shared" si="303"/>
        <v>-3.1736941779918109</v>
      </c>
      <c r="BM321" s="43">
        <f t="shared" si="304"/>
        <v>73.49773685535034</v>
      </c>
    </row>
    <row r="322" spans="14:65" x14ac:dyDescent="0.25">
      <c r="N322" s="9">
        <v>4</v>
      </c>
      <c r="O322" s="34">
        <f t="shared" si="308"/>
        <v>10964.781961431856</v>
      </c>
      <c r="P322" s="33" t="str">
        <f t="shared" si="257"/>
        <v>19.6196196196196</v>
      </c>
      <c r="Q322" s="4" t="str">
        <f t="shared" si="258"/>
        <v>1+16.6762200488114i</v>
      </c>
      <c r="R322" s="4">
        <f t="shared" si="270"/>
        <v>16.706175957303312</v>
      </c>
      <c r="S322" s="4">
        <f t="shared" si="271"/>
        <v>1.5109024209203399</v>
      </c>
      <c r="T322" s="4" t="str">
        <f t="shared" si="259"/>
        <v>1+0.259040526006026i</v>
      </c>
      <c r="U322" s="4">
        <f t="shared" si="272"/>
        <v>1.0330062894839889</v>
      </c>
      <c r="V322" s="4">
        <f t="shared" si="273"/>
        <v>0.25346912825578133</v>
      </c>
      <c r="W322" t="str">
        <f t="shared" si="260"/>
        <v>1-0.150705093254836i</v>
      </c>
      <c r="X322" s="4">
        <f t="shared" si="274"/>
        <v>1.0112922550543679</v>
      </c>
      <c r="Y322" s="4">
        <f t="shared" si="275"/>
        <v>-0.14957945393532496</v>
      </c>
      <c r="Z322" t="str">
        <f t="shared" si="261"/>
        <v>0.999879773556538+0.100880144056298i</v>
      </c>
      <c r="AA322" s="4">
        <f t="shared" si="276"/>
        <v>1.0049559020336631</v>
      </c>
      <c r="AB322" s="4">
        <f t="shared" si="277"/>
        <v>0.10055201380151003</v>
      </c>
      <c r="AC322" s="47" t="str">
        <f t="shared" si="278"/>
        <v>0.0771419608600358-1.21836493036867i</v>
      </c>
      <c r="AD322" s="20">
        <f t="shared" si="279"/>
        <v>1.732923473830392</v>
      </c>
      <c r="AE322" s="43">
        <f t="shared" si="280"/>
        <v>-86.37709811365103</v>
      </c>
      <c r="AF322" t="str">
        <f t="shared" si="262"/>
        <v>72.2956529813786</v>
      </c>
      <c r="AG322" t="str">
        <f t="shared" si="263"/>
        <v>1+13.5996276153164i</v>
      </c>
      <c r="AH322">
        <f t="shared" si="281"/>
        <v>13.636343764927474</v>
      </c>
      <c r="AI322">
        <f t="shared" si="282"/>
        <v>1.4973969983399111</v>
      </c>
      <c r="AJ322" t="str">
        <f t="shared" si="264"/>
        <v>1+0.259040526006026i</v>
      </c>
      <c r="AK322">
        <f t="shared" si="283"/>
        <v>1.0330062894839889</v>
      </c>
      <c r="AL322">
        <f t="shared" si="284"/>
        <v>0.25346912825578133</v>
      </c>
      <c r="AM322" t="str">
        <f t="shared" si="265"/>
        <v>1-0.0333530466494066i</v>
      </c>
      <c r="AN322">
        <f t="shared" si="285"/>
        <v>1.0005560582600046</v>
      </c>
      <c r="AO322">
        <f t="shared" si="286"/>
        <v>-3.334068730201873E-2</v>
      </c>
      <c r="AP322" s="41" t="str">
        <f t="shared" si="287"/>
        <v>1.58545330815681-5.24535090259594i</v>
      </c>
      <c r="AQ322">
        <f t="shared" si="288"/>
        <v>14.775172705956731</v>
      </c>
      <c r="AR322" s="43">
        <f t="shared" si="289"/>
        <v>-73.182097642989561</v>
      </c>
      <c r="AS322" t="str">
        <f t="shared" si="266"/>
        <v>-0.0000166666666666667</v>
      </c>
      <c r="AT322" t="str">
        <f t="shared" si="267"/>
        <v>0.000234238773516088i</v>
      </c>
      <c r="AU322">
        <f t="shared" si="290"/>
        <v>2.3423877351608799E-4</v>
      </c>
      <c r="AV322">
        <f t="shared" si="291"/>
        <v>1.5707963267948966</v>
      </c>
      <c r="AW322" t="str">
        <f t="shared" si="268"/>
        <v>1+0.234036144819275i</v>
      </c>
      <c r="AX322">
        <f t="shared" si="292"/>
        <v>1.0270213810246935</v>
      </c>
      <c r="AY322">
        <f t="shared" si="293"/>
        <v>0.22989835254634652</v>
      </c>
      <c r="AZ322" t="str">
        <f t="shared" si="269"/>
        <v>1+7.95722892385533i</v>
      </c>
      <c r="BA322">
        <f t="shared" si="294"/>
        <v>8.0198187103350325</v>
      </c>
      <c r="BB322">
        <f t="shared" si="295"/>
        <v>1.4457798335713927</v>
      </c>
      <c r="BC322" s="41" t="str">
        <f t="shared" si="296"/>
        <v>-0.520988179117833+0.193082532210132i</v>
      </c>
      <c r="BD322">
        <f t="shared" si="297"/>
        <v>-5.1044993949669761</v>
      </c>
      <c r="BE322" s="43">
        <f t="shared" si="298"/>
        <v>159.66487725085113</v>
      </c>
      <c r="BF322" s="41" t="str">
        <f t="shared" si="299"/>
        <v>0.195054936189555+0.649648491716309i</v>
      </c>
      <c r="BG322" s="20">
        <f t="shared" si="300"/>
        <v>-3.3715759211365892</v>
      </c>
      <c r="BH322" s="43">
        <f t="shared" si="301"/>
        <v>73.287779137200062</v>
      </c>
      <c r="BI322" s="41" t="str">
        <f t="shared" si="306"/>
        <v>0.186783202510965+3.03888915501739i</v>
      </c>
      <c r="BJ322" s="20">
        <f t="shared" si="302"/>
        <v>9.6706733109897609</v>
      </c>
      <c r="BK322" s="43">
        <f t="shared" si="307"/>
        <v>86.482779607861559</v>
      </c>
      <c r="BL322">
        <f t="shared" si="303"/>
        <v>-3.3715759211365892</v>
      </c>
      <c r="BM322" s="43">
        <f t="shared" si="304"/>
        <v>73.287779137200062</v>
      </c>
    </row>
    <row r="323" spans="14:65" x14ac:dyDescent="0.25">
      <c r="N323" s="9">
        <v>5</v>
      </c>
      <c r="O323" s="34">
        <f t="shared" si="308"/>
        <v>11220.184543019639</v>
      </c>
      <c r="P323" s="33" t="str">
        <f t="shared" si="257"/>
        <v>19.6196196196196</v>
      </c>
      <c r="Q323" s="4" t="str">
        <f t="shared" si="258"/>
        <v>1+17.0646591136805i</v>
      </c>
      <c r="R323" s="4">
        <f t="shared" si="270"/>
        <v>17.093934323792137</v>
      </c>
      <c r="S323" s="4">
        <f t="shared" si="271"/>
        <v>1.5122626246192561</v>
      </c>
      <c r="T323" s="4" t="str">
        <f t="shared" si="259"/>
        <v>1+0.265074354978687i</v>
      </c>
      <c r="U323" s="4">
        <f t="shared" si="272"/>
        <v>1.0345358445541493</v>
      </c>
      <c r="V323" s="4">
        <f t="shared" si="273"/>
        <v>0.25911520523476073</v>
      </c>
      <c r="W323" t="str">
        <f t="shared" si="260"/>
        <v>1-0.154215465828691i</v>
      </c>
      <c r="X323" s="4">
        <f t="shared" si="274"/>
        <v>1.0118213329935084</v>
      </c>
      <c r="Y323" s="4">
        <f t="shared" si="275"/>
        <v>-0.15301008133371174</v>
      </c>
      <c r="Z323" t="str">
        <f t="shared" si="261"/>
        <v>0.999874107458821+0.103229944473083i</v>
      </c>
      <c r="AA323" s="4">
        <f t="shared" si="276"/>
        <v>1.0051888639467161</v>
      </c>
      <c r="AB323" s="4">
        <f t="shared" si="277"/>
        <v>0.10287844450639107</v>
      </c>
      <c r="AC323" s="47" t="str">
        <f t="shared" si="278"/>
        <v>0.0737707335309228-1.19294784339253i</v>
      </c>
      <c r="AD323" s="20">
        <f t="shared" si="279"/>
        <v>1.549005158353691</v>
      </c>
      <c r="AE323" s="43">
        <f t="shared" si="280"/>
        <v>-86.461390794904332</v>
      </c>
      <c r="AF323" t="str">
        <f t="shared" si="262"/>
        <v>72.2956529813786</v>
      </c>
      <c r="AG323" t="str">
        <f t="shared" si="263"/>
        <v>1+13.9164036363811i</v>
      </c>
      <c r="AH323">
        <f t="shared" si="281"/>
        <v>13.952286198708839</v>
      </c>
      <c r="AI323">
        <f t="shared" si="282"/>
        <v>1.4990619789602171</v>
      </c>
      <c r="AJ323" t="str">
        <f t="shared" si="264"/>
        <v>1+0.265074354978687i</v>
      </c>
      <c r="AK323">
        <f t="shared" si="283"/>
        <v>1.0345358445541493</v>
      </c>
      <c r="AL323">
        <f t="shared" si="284"/>
        <v>0.25911520523476073</v>
      </c>
      <c r="AM323" t="str">
        <f t="shared" si="265"/>
        <v>1-0.0341299389075508i</v>
      </c>
      <c r="AN323">
        <f t="shared" si="285"/>
        <v>1.0005822568533949</v>
      </c>
      <c r="AO323">
        <f t="shared" si="286"/>
        <v>-3.4116696044408708E-2</v>
      </c>
      <c r="AP323" s="41" t="str">
        <f t="shared" si="287"/>
        <v>1.56833442722439-5.12929756382122i</v>
      </c>
      <c r="AQ323">
        <f t="shared" si="288"/>
        <v>14.589302969485331</v>
      </c>
      <c r="AR323" s="43">
        <f t="shared" si="289"/>
        <v>-72.998459649606843</v>
      </c>
      <c r="AS323" t="str">
        <f t="shared" si="266"/>
        <v>-0.0000166666666666667</v>
      </c>
      <c r="AT323" t="str">
        <f t="shared" si="267"/>
        <v>0.000239694895459451i</v>
      </c>
      <c r="AU323">
        <f t="shared" si="290"/>
        <v>2.3969489545945099E-4</v>
      </c>
      <c r="AV323">
        <f t="shared" si="291"/>
        <v>1.5707963267948966</v>
      </c>
      <c r="AW323" t="str">
        <f t="shared" si="268"/>
        <v>1+0.239487546933968i</v>
      </c>
      <c r="AX323">
        <f t="shared" si="292"/>
        <v>1.0282773386282757</v>
      </c>
      <c r="AY323">
        <f t="shared" si="293"/>
        <v>0.23506038103646443</v>
      </c>
      <c r="AZ323" t="str">
        <f t="shared" si="269"/>
        <v>1+8.14257659575489i</v>
      </c>
      <c r="BA323">
        <f t="shared" si="294"/>
        <v>8.2037524108017372</v>
      </c>
      <c r="BB323">
        <f t="shared" si="295"/>
        <v>1.4485969877364675</v>
      </c>
      <c r="BC323" s="41" t="str">
        <f t="shared" si="296"/>
        <v>-0.519716266513616+0.193998413151024i</v>
      </c>
      <c r="BD323">
        <f t="shared" si="297"/>
        <v>-5.1181551148052336</v>
      </c>
      <c r="BE323" s="43">
        <f t="shared" si="298"/>
        <v>159.53052584853745</v>
      </c>
      <c r="BF323" s="41" t="str">
        <f t="shared" si="299"/>
        <v>0.193090138381425+0.634305804555422i</v>
      </c>
      <c r="BG323" s="20">
        <f t="shared" si="300"/>
        <v>-3.5691499564515401</v>
      </c>
      <c r="BH323" s="43">
        <f t="shared" si="301"/>
        <v>73.069135053633147</v>
      </c>
      <c r="BI323" s="41" t="str">
        <f t="shared" si="306"/>
        <v>0.1799866747989+2.9700337698782i</v>
      </c>
      <c r="BJ323" s="20">
        <f t="shared" si="302"/>
        <v>9.4711478546800905</v>
      </c>
      <c r="BK323" s="43">
        <f t="shared" si="307"/>
        <v>86.532066198930607</v>
      </c>
      <c r="BL323">
        <f t="shared" si="303"/>
        <v>-3.5691499564515401</v>
      </c>
      <c r="BM323" s="43">
        <f t="shared" si="304"/>
        <v>73.069135053633147</v>
      </c>
    </row>
    <row r="324" spans="14:65" x14ac:dyDescent="0.25">
      <c r="N324" s="9">
        <v>6</v>
      </c>
      <c r="O324" s="34">
        <f t="shared" si="308"/>
        <v>11481.536214968832</v>
      </c>
      <c r="P324" s="33" t="str">
        <f t="shared" si="257"/>
        <v>19.6196196196196</v>
      </c>
      <c r="Q324" s="4" t="str">
        <f t="shared" si="258"/>
        <v>1+17.4621460866892i</v>
      </c>
      <c r="R324" s="4">
        <f t="shared" si="270"/>
        <v>17.490756014331541</v>
      </c>
      <c r="S324" s="4">
        <f t="shared" si="271"/>
        <v>1.5135920758645063</v>
      </c>
      <c r="T324" s="4" t="str">
        <f t="shared" si="259"/>
        <v>1+0.271248729883031i</v>
      </c>
      <c r="U324" s="4">
        <f t="shared" si="272"/>
        <v>1.036135065260875</v>
      </c>
      <c r="V324" s="4">
        <f t="shared" si="273"/>
        <v>0.26487535112893074</v>
      </c>
      <c r="W324" t="str">
        <f t="shared" si="260"/>
        <v>1-0.157807605483812i</v>
      </c>
      <c r="X324" s="4">
        <f t="shared" si="274"/>
        <v>1.0123750492522692</v>
      </c>
      <c r="Y324" s="4">
        <f t="shared" si="275"/>
        <v>-0.15651686389421934</v>
      </c>
      <c r="Z324" t="str">
        <f t="shared" si="261"/>
        <v>0.999868174326144+0.105634478772837i</v>
      </c>
      <c r="AA324" s="4">
        <f t="shared" si="276"/>
        <v>1.0054327471969</v>
      </c>
      <c r="AB324" s="4">
        <f t="shared" si="277"/>
        <v>0.10525794958416952</v>
      </c>
      <c r="AC324" s="47" t="str">
        <f t="shared" si="278"/>
        <v>0.0705302326492849-1.16814460734586i</v>
      </c>
      <c r="AD324" s="20">
        <f t="shared" si="279"/>
        <v>1.3657355971380114</v>
      </c>
      <c r="AE324" s="43">
        <f t="shared" si="280"/>
        <v>-86.544790129883893</v>
      </c>
      <c r="AF324" t="str">
        <f t="shared" si="262"/>
        <v>72.2956529813786</v>
      </c>
      <c r="AG324" t="str">
        <f t="shared" si="263"/>
        <v>1+14.2405583188592i</v>
      </c>
      <c r="AH324">
        <f t="shared" si="281"/>
        <v>14.27562612402097</v>
      </c>
      <c r="AI324">
        <f t="shared" si="282"/>
        <v>1.5006894450549486</v>
      </c>
      <c r="AJ324" t="str">
        <f t="shared" si="264"/>
        <v>1+0.271248729883031i</v>
      </c>
      <c r="AK324">
        <f t="shared" si="283"/>
        <v>1.036135065260875</v>
      </c>
      <c r="AL324">
        <f t="shared" si="284"/>
        <v>0.26487535112893074</v>
      </c>
      <c r="AM324" t="str">
        <f t="shared" si="265"/>
        <v>1-0.034924927311067i</v>
      </c>
      <c r="AN324">
        <f t="shared" si="285"/>
        <v>1.0006096894132515</v>
      </c>
      <c r="AO324">
        <f t="shared" si="286"/>
        <v>-3.491073779448417E-2</v>
      </c>
      <c r="AP324" s="41" t="str">
        <f t="shared" si="287"/>
        <v>1.55197828332958-5.01585363137533i</v>
      </c>
      <c r="AQ324">
        <f t="shared" si="288"/>
        <v>14.403961897845416</v>
      </c>
      <c r="AR324" s="43">
        <f t="shared" si="289"/>
        <v>-72.807169780056512</v>
      </c>
      <c r="AS324" t="str">
        <f t="shared" si="266"/>
        <v>-0.0000166666666666667</v>
      </c>
      <c r="AT324" t="str">
        <f t="shared" si="267"/>
        <v>0.000245278106809124i</v>
      </c>
      <c r="AU324">
        <f t="shared" si="290"/>
        <v>2.4527810680912402E-4</v>
      </c>
      <c r="AV324">
        <f t="shared" si="291"/>
        <v>1.5707963267948966</v>
      </c>
      <c r="AW324" t="str">
        <f t="shared" si="268"/>
        <v>1+0.245065928516037i</v>
      </c>
      <c r="AX324">
        <f t="shared" si="292"/>
        <v>1.0295908455883955</v>
      </c>
      <c r="AY324">
        <f t="shared" si="293"/>
        <v>0.24032946707952527</v>
      </c>
      <c r="AZ324" t="str">
        <f t="shared" si="269"/>
        <v>1+8.33224156954526i</v>
      </c>
      <c r="BA324">
        <f t="shared" si="294"/>
        <v>8.392034888705961</v>
      </c>
      <c r="BB324">
        <f t="shared" si="295"/>
        <v>1.4513519005505553</v>
      </c>
      <c r="BC324" s="41" t="str">
        <f t="shared" si="296"/>
        <v>-0.518391049825498+0.194990062682719i</v>
      </c>
      <c r="BD324">
        <f t="shared" si="297"/>
        <v>-5.1321485508600002</v>
      </c>
      <c r="BE324" s="43">
        <f t="shared" si="298"/>
        <v>159.38647433355254</v>
      </c>
      <c r="BF324" s="41" t="str">
        <f t="shared" si="299"/>
        <v>0.19121434886135+0.619308403835325i</v>
      </c>
      <c r="BG324" s="20">
        <f t="shared" si="300"/>
        <v>-3.7664129537219933</v>
      </c>
      <c r="BH324" s="43">
        <f t="shared" si="301"/>
        <v>72.841684203668649</v>
      </c>
      <c r="BI324" s="41" t="str">
        <f t="shared" si="306"/>
        <v>0.173509962387624+2.90279397248835i</v>
      </c>
      <c r="BJ324" s="20">
        <f t="shared" si="302"/>
        <v>9.2718133469854251</v>
      </c>
      <c r="BK324" s="43">
        <f t="shared" si="307"/>
        <v>86.579304553496058</v>
      </c>
      <c r="BL324">
        <f t="shared" si="303"/>
        <v>-3.7664129537219933</v>
      </c>
      <c r="BM324" s="43">
        <f t="shared" si="304"/>
        <v>72.841684203668649</v>
      </c>
    </row>
    <row r="325" spans="14:65" x14ac:dyDescent="0.25">
      <c r="N325" s="9">
        <v>7</v>
      </c>
      <c r="O325" s="34">
        <f t="shared" si="308"/>
        <v>11748.975549395318</v>
      </c>
      <c r="P325" s="33" t="str">
        <f t="shared" si="257"/>
        <v>19.6196196196196</v>
      </c>
      <c r="Q325" s="4" t="str">
        <f t="shared" si="258"/>
        <v>1+17.8688917206919i</v>
      </c>
      <c r="R325" s="4">
        <f t="shared" si="270"/>
        <v>17.896851436099354</v>
      </c>
      <c r="S325" s="4">
        <f t="shared" si="271"/>
        <v>1.5148914607402959</v>
      </c>
      <c r="T325" s="4" t="str">
        <f t="shared" si="259"/>
        <v>1+0.277566924454362i</v>
      </c>
      <c r="U325" s="4">
        <f t="shared" si="272"/>
        <v>1.0378070136355091</v>
      </c>
      <c r="V325" s="4">
        <f t="shared" si="273"/>
        <v>0.27075109047936735</v>
      </c>
      <c r="W325" t="str">
        <f t="shared" si="260"/>
        <v>1-0.161483416820191i</v>
      </c>
      <c r="X325" s="4">
        <f t="shared" si="274"/>
        <v>1.012954536940293</v>
      </c>
      <c r="Y325" s="4">
        <f t="shared" si="275"/>
        <v>-0.16010131578446826</v>
      </c>
      <c r="Z325" t="str">
        <f t="shared" si="261"/>
        <v>0.99986196157354+0.108095021871475i</v>
      </c>
      <c r="AA325" s="4">
        <f t="shared" si="276"/>
        <v>1.0056880609588055</v>
      </c>
      <c r="AB325" s="4">
        <f t="shared" si="277"/>
        <v>0.10769168669984958</v>
      </c>
      <c r="AC325" s="47" t="str">
        <f t="shared" si="278"/>
        <v>0.0674137430761545-1.1439430237472i</v>
      </c>
      <c r="AD325" s="20">
        <f t="shared" si="279"/>
        <v>1.1831442212550816</v>
      </c>
      <c r="AE325" s="43">
        <f t="shared" si="280"/>
        <v>-86.627401163282542</v>
      </c>
      <c r="AF325" t="str">
        <f t="shared" si="262"/>
        <v>72.2956529813786</v>
      </c>
      <c r="AG325" t="str">
        <f t="shared" si="263"/>
        <v>1+14.572263533854i</v>
      </c>
      <c r="AH325">
        <f t="shared" si="281"/>
        <v>14.606534992943777</v>
      </c>
      <c r="AI325">
        <f t="shared" si="282"/>
        <v>1.5022802250241654</v>
      </c>
      <c r="AJ325" t="str">
        <f t="shared" si="264"/>
        <v>1+0.277566924454362i</v>
      </c>
      <c r="AK325">
        <f t="shared" si="283"/>
        <v>1.0378070136355091</v>
      </c>
      <c r="AL325">
        <f t="shared" si="284"/>
        <v>0.27075109047936735</v>
      </c>
      <c r="AM325" t="str">
        <f t="shared" si="265"/>
        <v>1-0.0357384333733297i</v>
      </c>
      <c r="AN325">
        <f t="shared" si="285"/>
        <v>1.0006384140237572</v>
      </c>
      <c r="AO325">
        <f t="shared" si="286"/>
        <v>-3.5723229556241881E-2</v>
      </c>
      <c r="AP325" s="41" t="str">
        <f t="shared" si="287"/>
        <v>1.53635122374341-4.90496624074342i</v>
      </c>
      <c r="AQ325">
        <f t="shared" si="288"/>
        <v>14.219175075890387</v>
      </c>
      <c r="AR325" s="43">
        <f t="shared" si="289"/>
        <v>-72.608212040965554</v>
      </c>
      <c r="AS325" t="str">
        <f t="shared" si="266"/>
        <v>-0.0000166666666666667</v>
      </c>
      <c r="AT325" t="str">
        <f t="shared" si="267"/>
        <v>0.000250991367857668i</v>
      </c>
      <c r="AU325">
        <f t="shared" si="290"/>
        <v>2.5099136785766799E-4</v>
      </c>
      <c r="AV325">
        <f t="shared" si="291"/>
        <v>1.5707963267948966</v>
      </c>
      <c r="AW325" t="str">
        <f t="shared" si="268"/>
        <v>1+0.250774247297238i</v>
      </c>
      <c r="AX325">
        <f t="shared" si="292"/>
        <v>1.0309644625822445</v>
      </c>
      <c r="AY325">
        <f t="shared" si="293"/>
        <v>0.24570723360856997</v>
      </c>
      <c r="AZ325" t="str">
        <f t="shared" si="269"/>
        <v>1+8.52632440810607i</v>
      </c>
      <c r="BA325">
        <f t="shared" si="294"/>
        <v>8.584766037130267</v>
      </c>
      <c r="BB325">
        <f t="shared" si="295"/>
        <v>1.4540458653468835</v>
      </c>
      <c r="BC325" s="41" t="str">
        <f t="shared" si="296"/>
        <v>-0.517010601878699+0.19605629062565i</v>
      </c>
      <c r="BD325">
        <f t="shared" si="297"/>
        <v>-5.1465053489354586</v>
      </c>
      <c r="BE325" s="43">
        <f t="shared" si="298"/>
        <v>159.23270382121791</v>
      </c>
      <c r="BF325" s="41" t="str">
        <f t="shared" si="299"/>
        <v>0.189423606040267+0.60464755962718i</v>
      </c>
      <c r="BG325" s="20">
        <f t="shared" si="300"/>
        <v>-3.9633611276803804</v>
      </c>
      <c r="BH325" s="43">
        <f t="shared" si="301"/>
        <v>72.605302657935397</v>
      </c>
      <c r="BI325" s="41" t="str">
        <f t="shared" si="306"/>
        <v>0.167339615919538+2.83713087034677i</v>
      </c>
      <c r="BJ325" s="20">
        <f t="shared" si="302"/>
        <v>9.0726697269549401</v>
      </c>
      <c r="BK325" s="43">
        <f t="shared" si="307"/>
        <v>86.624491780252384</v>
      </c>
      <c r="BL325">
        <f t="shared" si="303"/>
        <v>-3.9633611276803804</v>
      </c>
      <c r="BM325" s="43">
        <f t="shared" si="304"/>
        <v>72.605302657935397</v>
      </c>
    </row>
    <row r="326" spans="14:65" x14ac:dyDescent="0.25">
      <c r="N326" s="9">
        <v>8</v>
      </c>
      <c r="O326" s="34">
        <f t="shared" si="308"/>
        <v>12022.644346174151</v>
      </c>
      <c r="P326" s="33" t="str">
        <f t="shared" si="257"/>
        <v>19.6196196196196</v>
      </c>
      <c r="Q326" s="4" t="str">
        <f t="shared" si="258"/>
        <v>1+18.2851116776075i</v>
      </c>
      <c r="R326" s="4">
        <f t="shared" si="270"/>
        <v>18.312435912859279</v>
      </c>
      <c r="S326" s="4">
        <f t="shared" si="271"/>
        <v>1.5161614506366876</v>
      </c>
      <c r="T326" s="4" t="str">
        <f t="shared" si="259"/>
        <v>1+0.28403228868307i</v>
      </c>
      <c r="U326" s="4">
        <f t="shared" si="272"/>
        <v>1.0395548763843796</v>
      </c>
      <c r="V326" s="4">
        <f t="shared" si="273"/>
        <v>0.27674391518195285</v>
      </c>
      <c r="W326" t="str">
        <f t="shared" si="260"/>
        <v>1-0.165244848801653i</v>
      </c>
      <c r="X326" s="4">
        <f t="shared" si="274"/>
        <v>1.0135609799392837</v>
      </c>
      <c r="Y326" s="4">
        <f t="shared" si="275"/>
        <v>-0.1637649689075471</v>
      </c>
      <c r="Z326" t="str">
        <f t="shared" si="261"/>
        <v>0.999855456022925+0.110612878381515i</v>
      </c>
      <c r="AA326" s="4">
        <f t="shared" si="276"/>
        <v>1.0059553378767148</v>
      </c>
      <c r="AB326" s="4">
        <f t="shared" si="277"/>
        <v>0.11018083500232673</v>
      </c>
      <c r="AC326" s="47" t="str">
        <f t="shared" si="278"/>
        <v>0.064414804421969-1.1203311304577i</v>
      </c>
      <c r="AD326" s="20">
        <f t="shared" si="279"/>
        <v>1.0012613707797411</v>
      </c>
      <c r="AE326" s="43">
        <f t="shared" si="280"/>
        <v>-86.70933221541658</v>
      </c>
      <c r="AF326" t="str">
        <f t="shared" si="262"/>
        <v>72.2956529813786</v>
      </c>
      <c r="AG326" t="str">
        <f t="shared" si="263"/>
        <v>1+14.9116951558612i</v>
      </c>
      <c r="AH326">
        <f t="shared" si="281"/>
        <v>14.945188269852421</v>
      </c>
      <c r="AI326">
        <f t="shared" si="282"/>
        <v>1.5038351300975907</v>
      </c>
      <c r="AJ326" t="str">
        <f t="shared" si="264"/>
        <v>1+0.28403228868307i</v>
      </c>
      <c r="AK326">
        <f t="shared" si="283"/>
        <v>1.0395548763843796</v>
      </c>
      <c r="AL326">
        <f t="shared" si="284"/>
        <v>0.27674391518195285</v>
      </c>
      <c r="AM326" t="str">
        <f t="shared" si="265"/>
        <v>1-0.0365708884260208i</v>
      </c>
      <c r="AN326">
        <f t="shared" si="285"/>
        <v>1.0006684914996917</v>
      </c>
      <c r="AO326">
        <f t="shared" si="286"/>
        <v>-3.6554597830232141E-2</v>
      </c>
      <c r="AP326" s="41" t="str">
        <f t="shared" si="287"/>
        <v>1.52142105149899-4.79658340439307i</v>
      </c>
      <c r="AQ326">
        <f t="shared" si="288"/>
        <v>14.034968788598718</v>
      </c>
      <c r="AR326" s="43">
        <f t="shared" si="289"/>
        <v>-72.401571869717088</v>
      </c>
      <c r="AS326" t="str">
        <f t="shared" si="266"/>
        <v>-0.0000166666666666667</v>
      </c>
      <c r="AT326" t="str">
        <f t="shared" si="267"/>
        <v>0.000256837707851712i</v>
      </c>
      <c r="AU326">
        <f t="shared" si="290"/>
        <v>2.5683770785171203E-4</v>
      </c>
      <c r="AV326">
        <f t="shared" si="291"/>
        <v>1.5707963267948966</v>
      </c>
      <c r="AW326" t="str">
        <f t="shared" si="268"/>
        <v>1+0.256615529903744i</v>
      </c>
      <c r="AX326">
        <f t="shared" si="292"/>
        <v>1.0324008573164687</v>
      </c>
      <c r="AY326">
        <f t="shared" si="293"/>
        <v>0.2511952872357387</v>
      </c>
      <c r="AZ326" t="str">
        <f t="shared" si="269"/>
        <v>1+8.72492801672728i</v>
      </c>
      <c r="BA326">
        <f t="shared" si="294"/>
        <v>8.782048103778104</v>
      </c>
      <c r="BB326">
        <f t="shared" si="295"/>
        <v>1.4566801540066288</v>
      </c>
      <c r="BC326" s="41" t="str">
        <f t="shared" si="296"/>
        <v>-0.515572953539293+0.1971958480764i</v>
      </c>
      <c r="BD326">
        <f t="shared" si="297"/>
        <v>-5.1612516134068827</v>
      </c>
      <c r="BE326" s="43">
        <f t="shared" si="298"/>
        <v>159.06919513286229</v>
      </c>
      <c r="BF326" s="41" t="str">
        <f t="shared" si="299"/>
        <v>0.187714116429508+0.590314761858757i</v>
      </c>
      <c r="BG326" s="20">
        <f t="shared" si="300"/>
        <v>-4.159990242627142</v>
      </c>
      <c r="BH326" s="43">
        <f t="shared" si="301"/>
        <v>72.359862917445682</v>
      </c>
      <c r="BI326" s="41" t="str">
        <f t="shared" si="306"/>
        <v>0.161462787200286+2.77300658723212i</v>
      </c>
      <c r="BJ326" s="20">
        <f t="shared" si="302"/>
        <v>8.8737171751918211</v>
      </c>
      <c r="BK326" s="43">
        <f t="shared" si="307"/>
        <v>86.667623263145217</v>
      </c>
      <c r="BL326">
        <f t="shared" si="303"/>
        <v>-4.159990242627142</v>
      </c>
      <c r="BM326" s="43">
        <f t="shared" si="304"/>
        <v>72.359862917445682</v>
      </c>
    </row>
    <row r="327" spans="14:65" x14ac:dyDescent="0.25">
      <c r="N327" s="9">
        <v>9</v>
      </c>
      <c r="O327" s="34">
        <f t="shared" si="308"/>
        <v>12302.687708123816</v>
      </c>
      <c r="P327" s="33" t="str">
        <f t="shared" si="257"/>
        <v>19.6196196196196</v>
      </c>
      <c r="Q327" s="4" t="str">
        <f t="shared" si="258"/>
        <v>1+18.7110266427668i</v>
      </c>
      <c r="R327" s="4">
        <f t="shared" si="270"/>
        <v>18.737729799160011</v>
      </c>
      <c r="S327" s="4">
        <f t="shared" si="271"/>
        <v>1.5174027025231809</v>
      </c>
      <c r="T327" s="4" t="str">
        <f t="shared" si="259"/>
        <v>1+0.290648250590849i</v>
      </c>
      <c r="U327" s="4">
        <f t="shared" si="272"/>
        <v>1.041381969102366</v>
      </c>
      <c r="V327" s="4">
        <f t="shared" si="273"/>
        <v>0.28285528022394585</v>
      </c>
      <c r="W327" t="str">
        <f t="shared" si="260"/>
        <v>1-0.169093895789224i</v>
      </c>
      <c r="X327" s="4">
        <f t="shared" si="274"/>
        <v>1.014195615053219</v>
      </c>
      <c r="Y327" s="4">
        <f t="shared" si="275"/>
        <v>-0.16750937218245363</v>
      </c>
      <c r="Z327" t="str">
        <f t="shared" si="261"/>
        <v>0.999848643875156+0.113189383303807i</v>
      </c>
      <c r="AA327" s="4">
        <f t="shared" si="276"/>
        <v>1.0062351351208547</v>
      </c>
      <c r="AB327" s="4">
        <f t="shared" si="277"/>
        <v>0.11272659524946961</v>
      </c>
      <c r="AC327" s="47" t="str">
        <f t="shared" si="278"/>
        <v>0.0615271985861117-1.0972971994245i</v>
      </c>
      <c r="AD327" s="20">
        <f t="shared" si="279"/>
        <v>0.82011831485794284</v>
      </c>
      <c r="AE327" s="43">
        <f t="shared" si="280"/>
        <v>-86.790695108115898</v>
      </c>
      <c r="AF327" t="str">
        <f t="shared" si="262"/>
        <v>72.2956529813786</v>
      </c>
      <c r="AG327" t="str">
        <f t="shared" si="263"/>
        <v>1+15.2590331560196i</v>
      </c>
      <c r="AH327">
        <f t="shared" si="281"/>
        <v>15.29176552450715</v>
      </c>
      <c r="AI327">
        <f t="shared" si="282"/>
        <v>1.5053549546148393</v>
      </c>
      <c r="AJ327" t="str">
        <f t="shared" si="264"/>
        <v>1+0.290648250590849i</v>
      </c>
      <c r="AK327">
        <f t="shared" si="283"/>
        <v>1.041381969102366</v>
      </c>
      <c r="AL327">
        <f t="shared" si="284"/>
        <v>0.28285528022394585</v>
      </c>
      <c r="AM327" t="str">
        <f t="shared" si="265"/>
        <v>1-0.0374227338478284i</v>
      </c>
      <c r="AN327">
        <f t="shared" si="285"/>
        <v>1.0006999855144625</v>
      </c>
      <c r="AO327">
        <f t="shared" si="286"/>
        <v>-3.7405278819337723E-2</v>
      </c>
      <c r="AP327" s="41" t="str">
        <f t="shared" si="287"/>
        <v>1.50715696497003-4.69065401531982i</v>
      </c>
      <c r="AQ327">
        <f t="shared" si="288"/>
        <v>13.851370037165969</v>
      </c>
      <c r="AR327" s="43">
        <f t="shared" si="289"/>
        <v>-72.187236406573646</v>
      </c>
      <c r="AS327" t="str">
        <f t="shared" si="266"/>
        <v>-0.0000166666666666667</v>
      </c>
      <c r="AT327" t="str">
        <f t="shared" si="267"/>
        <v>0.000262820226598108i</v>
      </c>
      <c r="AU327">
        <f t="shared" si="290"/>
        <v>2.6282022659810799E-4</v>
      </c>
      <c r="AV327">
        <f t="shared" si="291"/>
        <v>1.5707963267948966</v>
      </c>
      <c r="AW327" t="str">
        <f t="shared" si="268"/>
        <v>1+0.262592873460913i</v>
      </c>
      <c r="AX327">
        <f t="shared" si="292"/>
        <v>1.0339028083879351</v>
      </c>
      <c r="AY327">
        <f t="shared" si="293"/>
        <v>0.25679521489355084</v>
      </c>
      <c r="AZ327" t="str">
        <f t="shared" si="269"/>
        <v>1+8.92815769767104i</v>
      </c>
      <c r="BA327">
        <f t="shared" si="294"/>
        <v>8.9839857454518839</v>
      </c>
      <c r="BB327">
        <f t="shared" si="295"/>
        <v>1.4592560169408897</v>
      </c>
      <c r="BC327" s="41" t="str">
        <f t="shared" si="296"/>
        <v>-0.514076095453089+0.198407422290169i</v>
      </c>
      <c r="BD327">
        <f t="shared" si="297"/>
        <v>-5.176413932190842</v>
      </c>
      <c r="BE327" s="43">
        <f t="shared" si="298"/>
        <v>158.89592898722839</v>
      </c>
      <c r="BF327" s="41" t="str">
        <f t="shared" si="299"/>
        <v>0.186082246810721+0.576301712703962i</v>
      </c>
      <c r="BG327" s="20">
        <f t="shared" si="300"/>
        <v>-4.3562956173329042</v>
      </c>
      <c r="BH327" s="43">
        <f t="shared" si="301"/>
        <v>72.105233879112561</v>
      </c>
      <c r="BI327" s="41" t="str">
        <f t="shared" si="306"/>
        <v>0.155867204247915+2.71038422972335i</v>
      </c>
      <c r="BJ327" s="20">
        <f t="shared" si="302"/>
        <v>8.6749561049751414</v>
      </c>
      <c r="BK327" s="43">
        <f t="shared" si="307"/>
        <v>86.70869258065477</v>
      </c>
      <c r="BL327">
        <f t="shared" si="303"/>
        <v>-4.3562956173329042</v>
      </c>
      <c r="BM327" s="43">
        <f t="shared" si="304"/>
        <v>72.105233879112561</v>
      </c>
    </row>
    <row r="328" spans="14:65" x14ac:dyDescent="0.25">
      <c r="N328" s="9">
        <v>10</v>
      </c>
      <c r="O328" s="34">
        <f t="shared" si="308"/>
        <v>12589.254117941671</v>
      </c>
      <c r="P328" s="33" t="str">
        <f t="shared" si="257"/>
        <v>19.6196196196196</v>
      </c>
      <c r="Q328" s="4" t="str">
        <f t="shared" si="258"/>
        <v>1+19.1468624419217i</v>
      </c>
      <c r="R328" s="4">
        <f t="shared" si="270"/>
        <v>19.172958597198082</v>
      </c>
      <c r="S328" s="4">
        <f t="shared" si="271"/>
        <v>1.5186158592200474</v>
      </c>
      <c r="T328" s="4" t="str">
        <f t="shared" si="259"/>
        <v>1+0.297418318048276i</v>
      </c>
      <c r="U328" s="4">
        <f t="shared" si="272"/>
        <v>1.043291740555184</v>
      </c>
      <c r="V328" s="4">
        <f t="shared" si="273"/>
        <v>0.28908659920782331</v>
      </c>
      <c r="W328" t="str">
        <f t="shared" si="260"/>
        <v>1-0.173032598598565i</v>
      </c>
      <c r="X328" s="4">
        <f t="shared" si="274"/>
        <v>1.014859734238073</v>
      </c>
      <c r="Y328" s="4">
        <f t="shared" si="275"/>
        <v>-0.17133609074062739</v>
      </c>
      <c r="Z328" t="str">
        <f t="shared" si="261"/>
        <v>0.999841510680754+0.115825902735366i</v>
      </c>
      <c r="AA328" s="4">
        <f t="shared" si="276"/>
        <v>1.0065280354887463</v>
      </c>
      <c r="AB328" s="4">
        <f t="shared" si="277"/>
        <v>0.11533018991124407</v>
      </c>
      <c r="AC328" s="47" t="str">
        <f t="shared" si="278"/>
        <v>0.058744937750306-1.07482973419688i</v>
      </c>
      <c r="AD328" s="20">
        <f t="shared" si="279"/>
        <v>0.63974727040707491</v>
      </c>
      <c r="AE328" s="43">
        <f t="shared" si="280"/>
        <v>-86.871605396608658</v>
      </c>
      <c r="AF328" t="str">
        <f t="shared" si="262"/>
        <v>72.2956529813786</v>
      </c>
      <c r="AG328" t="str">
        <f t="shared" si="263"/>
        <v>1+15.6144616975345i</v>
      </c>
      <c r="AH328">
        <f t="shared" si="281"/>
        <v>15.646450527316794</v>
      </c>
      <c r="AI328">
        <f t="shared" si="282"/>
        <v>1.5068404763064427</v>
      </c>
      <c r="AJ328" t="str">
        <f t="shared" si="264"/>
        <v>1+0.297418318048276i</v>
      </c>
      <c r="AK328">
        <f t="shared" si="283"/>
        <v>1.043291740555184</v>
      </c>
      <c r="AL328">
        <f t="shared" si="284"/>
        <v>0.28908659920782331</v>
      </c>
      <c r="AM328" t="str">
        <f t="shared" si="265"/>
        <v>1-0.0382944212984706i</v>
      </c>
      <c r="AN328">
        <f t="shared" si="285"/>
        <v>1.0007329627341075</v>
      </c>
      <c r="AO328">
        <f t="shared" si="286"/>
        <v>-3.82757186382498E-2</v>
      </c>
      <c r="AP328" s="41" t="str">
        <f t="shared" si="287"/>
        <v>1.49352949973041-4.58712784907191i</v>
      </c>
      <c r="AQ328">
        <f t="shared" si="288"/>
        <v>13.668406553704163</v>
      </c>
      <c r="AR328" s="43">
        <f t="shared" si="289"/>
        <v>-71.965194779245621</v>
      </c>
      <c r="AS328" t="str">
        <f t="shared" si="266"/>
        <v>-0.0000166666666666667</v>
      </c>
      <c r="AT328" t="str">
        <f t="shared" si="267"/>
        <v>0.000268942096107484i</v>
      </c>
      <c r="AU328">
        <f t="shared" si="290"/>
        <v>2.6894209610748399E-4</v>
      </c>
      <c r="AV328">
        <f t="shared" si="291"/>
        <v>1.5707963267948966</v>
      </c>
      <c r="AW328" t="str">
        <f t="shared" si="268"/>
        <v>1+0.268709447235419i</v>
      </c>
      <c r="AX328">
        <f t="shared" si="292"/>
        <v>1.0354732092302361</v>
      </c>
      <c r="AY328">
        <f t="shared" si="293"/>
        <v>0.26250858027756557</v>
      </c>
      <c r="AZ328" t="str">
        <f t="shared" si="269"/>
        <v>1+9.13612120600424i</v>
      </c>
      <c r="BA328">
        <f t="shared" si="294"/>
        <v>9.19068608379159</v>
      </c>
      <c r="BB328">
        <f t="shared" si="295"/>
        <v>1.4617746831040348</v>
      </c>
      <c r="BC328" s="41" t="str">
        <f t="shared" si="296"/>
        <v>-0.512517980099678+0.199689631461107i</v>
      </c>
      <c r="BD328">
        <f t="shared" si="297"/>
        <v>-5.1920194006813141</v>
      </c>
      <c r="BE328" s="43">
        <f t="shared" si="298"/>
        <v>158.71288620505882</v>
      </c>
      <c r="BF328" s="41" t="str">
        <f t="shared" si="299"/>
        <v>0.184524516668346+0.562600319291223i</v>
      </c>
      <c r="BG328" s="20">
        <f t="shared" si="300"/>
        <v>-4.5522721302742406</v>
      </c>
      <c r="BH328" s="43">
        <f t="shared" si="301"/>
        <v>71.841280808450222</v>
      </c>
      <c r="BI328" s="41" t="str">
        <f t="shared" si="306"/>
        <v>0.150541147225038+2.64922785504277i</v>
      </c>
      <c r="BJ328" s="20">
        <f t="shared" si="302"/>
        <v>8.4763871530228396</v>
      </c>
      <c r="BK328" s="43">
        <f t="shared" si="307"/>
        <v>86.747691425813215</v>
      </c>
      <c r="BL328">
        <f t="shared" si="303"/>
        <v>-4.5522721302742406</v>
      </c>
      <c r="BM328" s="43">
        <f t="shared" si="304"/>
        <v>71.841280808450222</v>
      </c>
    </row>
    <row r="329" spans="14:65" x14ac:dyDescent="0.25">
      <c r="N329" s="9">
        <v>11</v>
      </c>
      <c r="O329" s="34">
        <f t="shared" si="308"/>
        <v>12882.49551693136</v>
      </c>
      <c r="P329" s="33" t="str">
        <f t="shared" si="257"/>
        <v>19.6196196196196</v>
      </c>
      <c r="Q329" s="4" t="str">
        <f t="shared" si="258"/>
        <v>1+19.5928501609821i</v>
      </c>
      <c r="R329" s="4">
        <f t="shared" si="270"/>
        <v>19.618353076410266</v>
      </c>
      <c r="S329" s="4">
        <f t="shared" si="271"/>
        <v>1.5198015496672268</v>
      </c>
      <c r="T329" s="4" t="str">
        <f t="shared" si="259"/>
        <v>1+0.30434608063473i</v>
      </c>
      <c r="U329" s="4">
        <f t="shared" si="272"/>
        <v>1.0452877770249309</v>
      </c>
      <c r="V329" s="4">
        <f t="shared" si="273"/>
        <v>0.29543923966158031</v>
      </c>
      <c r="W329" t="str">
        <f t="shared" si="260"/>
        <v>1-0.177063045582041i</v>
      </c>
      <c r="X329" s="4">
        <f t="shared" si="274"/>
        <v>1.0155546869129146</v>
      </c>
      <c r="Y329" s="4">
        <f t="shared" si="275"/>
        <v>-0.17524670503336146</v>
      </c>
      <c r="Z329" t="str">
        <f t="shared" si="261"/>
        <v>0.999834041309256+0.118523834593692i</v>
      </c>
      <c r="AA329" s="4">
        <f t="shared" si="276"/>
        <v>1.0068346485533719</v>
      </c>
      <c r="AB329" s="4">
        <f t="shared" si="277"/>
        <v>0.11799286324882553</v>
      </c>
      <c r="AC329" s="47" t="str">
        <f t="shared" si="278"/>
        <v>0.0560622528098276-1.05291746723068i</v>
      </c>
      <c r="AD329" s="20">
        <f t="shared" si="279"/>
        <v>0.46018141927362471</v>
      </c>
      <c r="AE329" s="43">
        <f t="shared" si="280"/>
        <v>-86.952182607019338</v>
      </c>
      <c r="AF329" t="str">
        <f t="shared" si="262"/>
        <v>72.2956529813786</v>
      </c>
      <c r="AG329" t="str">
        <f t="shared" si="263"/>
        <v>1+15.9781692333233i</v>
      </c>
      <c r="AH329">
        <f t="shared" si="281"/>
        <v>16.009431346825512</v>
      </c>
      <c r="AI329">
        <f t="shared" si="282"/>
        <v>1.5082924565751945</v>
      </c>
      <c r="AJ329" t="str">
        <f t="shared" si="264"/>
        <v>1+0.30434608063473i</v>
      </c>
      <c r="AK329">
        <f t="shared" si="283"/>
        <v>1.0452877770249309</v>
      </c>
      <c r="AL329">
        <f t="shared" si="284"/>
        <v>0.29543923966158031</v>
      </c>
      <c r="AM329" t="str">
        <f t="shared" si="265"/>
        <v>1-0.0391864129581719i</v>
      </c>
      <c r="AN329">
        <f t="shared" si="285"/>
        <v>1.0007674929575443</v>
      </c>
      <c r="AO329">
        <f t="shared" si="286"/>
        <v>-3.9166373526653309E-2</v>
      </c>
      <c r="AP329" s="41" t="str">
        <f t="shared" si="287"/>
        <v>1.48051047262945-4.48595556437875i</v>
      </c>
      <c r="AQ329">
        <f t="shared" si="288"/>
        <v>13.486106814401902</v>
      </c>
      <c r="AR329" s="43">
        <f t="shared" si="289"/>
        <v>-71.735438399925215</v>
      </c>
      <c r="AS329" t="str">
        <f t="shared" si="266"/>
        <v>-0.0000166666666666667</v>
      </c>
      <c r="AT329" t="str">
        <f t="shared" si="267"/>
        <v>0.000275206562276086i</v>
      </c>
      <c r="AU329">
        <f t="shared" si="290"/>
        <v>2.75206562276086E-4</v>
      </c>
      <c r="AV329">
        <f t="shared" si="291"/>
        <v>1.5707963267948966</v>
      </c>
      <c r="AW329" t="str">
        <f t="shared" si="268"/>
        <v>1+0.27496849431564i</v>
      </c>
      <c r="AX329">
        <f t="shared" si="292"/>
        <v>1.0371150721430145</v>
      </c>
      <c r="AY329">
        <f t="shared" si="293"/>
        <v>0.26833692008603144</v>
      </c>
      <c r="AZ329" t="str">
        <f t="shared" si="269"/>
        <v>1+9.34892880673174i</v>
      </c>
      <c r="BA329">
        <f t="shared" si="294"/>
        <v>9.4022587623048608</v>
      </c>
      <c r="BB329">
        <f t="shared" si="295"/>
        <v>1.4642373600359451</v>
      </c>
      <c r="BC329" s="41" t="str">
        <f t="shared" si="296"/>
        <v>-0.510896524184279+0.201041019414029i</v>
      </c>
      <c r="BD329">
        <f t="shared" si="297"/>
        <v>-5.208095644541002</v>
      </c>
      <c r="BE329" s="43">
        <f t="shared" si="298"/>
        <v>158.5200479269684</v>
      </c>
      <c r="BF329" s="41" t="str">
        <f t="shared" si="299"/>
        <v>0.183037590872412+0.549202686716604i</v>
      </c>
      <c r="BG329" s="20">
        <f t="shared" si="300"/>
        <v>-4.7479142252673716</v>
      </c>
      <c r="BH329" s="43">
        <f t="shared" si="301"/>
        <v>71.567865319949107</v>
      </c>
      <c r="BI329" s="41" t="str">
        <f t="shared" si="306"/>
        <v>0.145473425223929+2.5895024401568i</v>
      </c>
      <c r="BJ329" s="20">
        <f t="shared" si="302"/>
        <v>8.2780111698609016</v>
      </c>
      <c r="BK329" s="43">
        <f t="shared" si="307"/>
        <v>86.784609527043202</v>
      </c>
      <c r="BL329">
        <f t="shared" si="303"/>
        <v>-4.7479142252673716</v>
      </c>
      <c r="BM329" s="43">
        <f t="shared" si="304"/>
        <v>71.567865319949107</v>
      </c>
    </row>
    <row r="330" spans="14:65" x14ac:dyDescent="0.25">
      <c r="N330" s="9">
        <v>12</v>
      </c>
      <c r="O330" s="34">
        <f t="shared" si="308"/>
        <v>13182.567385564091</v>
      </c>
      <c r="P330" s="33" t="str">
        <f t="shared" si="257"/>
        <v>19.6196196196196</v>
      </c>
      <c r="Q330" s="4" t="str">
        <f t="shared" si="258"/>
        <v>1+20.0492262685398i</v>
      </c>
      <c r="R330" s="4">
        <f t="shared" si="270"/>
        <v>20.07414939585502</v>
      </c>
      <c r="S330" s="4">
        <f t="shared" si="271"/>
        <v>1.520960389190585</v>
      </c>
      <c r="T330" s="4" t="str">
        <f t="shared" si="259"/>
        <v>1+0.311435211541633i</v>
      </c>
      <c r="U330" s="4">
        <f t="shared" si="272"/>
        <v>1.0473738067127618</v>
      </c>
      <c r="V330" s="4">
        <f t="shared" si="273"/>
        <v>0.30191451813580056</v>
      </c>
      <c r="W330" t="str">
        <f t="shared" si="260"/>
        <v>1-0.18118737373599i</v>
      </c>
      <c r="X330" s="4">
        <f t="shared" si="274"/>
        <v>1.016281882354175</v>
      </c>
      <c r="Y330" s="4">
        <f t="shared" si="275"/>
        <v>-0.17924280984467028</v>
      </c>
      <c r="Z330" t="str">
        <f t="shared" si="261"/>
        <v>0.999826219917125+0.121284609357969i</v>
      </c>
      <c r="AA330" s="4">
        <f t="shared" si="276"/>
        <v>1.0071556118598965</v>
      </c>
      <c r="AB330" s="4">
        <f t="shared" si="277"/>
        <v>0.12071588136751911</v>
      </c>
      <c r="AC330" s="47" t="str">
        <f t="shared" si="278"/>
        <v>0.0534735822270466-1.03154935699579i</v>
      </c>
      <c r="AD330" s="20">
        <f t="shared" si="279"/>
        <v>0.28145492366788261</v>
      </c>
      <c r="AE330" s="43">
        <f t="shared" si="280"/>
        <v>-87.032550479014702</v>
      </c>
      <c r="AF330" t="str">
        <f t="shared" si="262"/>
        <v>72.2956529813786</v>
      </c>
      <c r="AG330" t="str">
        <f t="shared" si="263"/>
        <v>1+16.3503486059357i</v>
      </c>
      <c r="AH330">
        <f t="shared" si="281"/>
        <v>16.380900449475405</v>
      </c>
      <c r="AI330">
        <f t="shared" si="282"/>
        <v>1.509711640777381</v>
      </c>
      <c r="AJ330" t="str">
        <f t="shared" si="264"/>
        <v>1+0.311435211541633i</v>
      </c>
      <c r="AK330">
        <f t="shared" si="283"/>
        <v>1.0473738067127618</v>
      </c>
      <c r="AL330">
        <f t="shared" si="284"/>
        <v>0.30191451813580056</v>
      </c>
      <c r="AM330" t="str">
        <f t="shared" si="265"/>
        <v>1-0.040099181772717i</v>
      </c>
      <c r="AN330">
        <f t="shared" si="285"/>
        <v>1.0008036492633514</v>
      </c>
      <c r="AO330">
        <f t="shared" si="286"/>
        <v>-4.0077710066123491E-2</v>
      </c>
      <c r="AP330" s="41" t="str">
        <f t="shared" si="287"/>
        <v>1.4680729280172-4.38708870249937i</v>
      </c>
      <c r="AQ330">
        <f t="shared" si="288"/>
        <v>13.3045000509897</v>
      </c>
      <c r="AR330" s="43">
        <f t="shared" si="289"/>
        <v>-71.497961274745066</v>
      </c>
      <c r="AS330" t="str">
        <f t="shared" si="266"/>
        <v>-0.0000166666666666667</v>
      </c>
      <c r="AT330" t="str">
        <f t="shared" si="267"/>
        <v>0.000281616946606796i</v>
      </c>
      <c r="AU330">
        <f t="shared" si="290"/>
        <v>2.8161694660679598E-4</v>
      </c>
      <c r="AV330">
        <f t="shared" si="291"/>
        <v>1.5707963267948966</v>
      </c>
      <c r="AW330" t="str">
        <f t="shared" si="268"/>
        <v>1+0.281373333331185i</v>
      </c>
      <c r="AX330">
        <f t="shared" si="292"/>
        <v>1.0388315324006594</v>
      </c>
      <c r="AY330">
        <f t="shared" si="293"/>
        <v>0.27428174005272737</v>
      </c>
      <c r="AZ330" t="str">
        <f t="shared" si="269"/>
        <v>1+9.56669333326026i</v>
      </c>
      <c r="BA330">
        <f t="shared" si="294"/>
        <v>9.6188160047194096</v>
      </c>
      <c r="BB330">
        <f t="shared" si="295"/>
        <v>1.4666452339308043</v>
      </c>
      <c r="BC330" s="41" t="str">
        <f t="shared" si="296"/>
        <v>-0.509209611390464+0.202460050223447i</v>
      </c>
      <c r="BD330">
        <f t="shared" si="297"/>
        <v>-5.2246708412272795</v>
      </c>
      <c r="BE330" s="43">
        <f t="shared" si="298"/>
        <v>158.3173958446867</v>
      </c>
      <c r="BF330" s="41" t="str">
        <f t="shared" si="299"/>
        <v>0.181618272599842+0.536101111349225i</v>
      </c>
      <c r="BG330" s="20">
        <f t="shared" si="300"/>
        <v>-4.9432159175593906</v>
      </c>
      <c r="BH330" s="43">
        <f t="shared" si="301"/>
        <v>71.28484536567197</v>
      </c>
      <c r="BI330" s="41" t="str">
        <f t="shared" si="306"/>
        <v>0.14065335387424+2.53117385207324i</v>
      </c>
      <c r="BJ330" s="20">
        <f t="shared" si="302"/>
        <v>8.0798292097624049</v>
      </c>
      <c r="BK330" s="43">
        <f t="shared" si="307"/>
        <v>86.819434569941635</v>
      </c>
      <c r="BL330">
        <f t="shared" si="303"/>
        <v>-4.9432159175593906</v>
      </c>
      <c r="BM330" s="43">
        <f t="shared" si="304"/>
        <v>71.28484536567197</v>
      </c>
    </row>
    <row r="331" spans="14:65" x14ac:dyDescent="0.25">
      <c r="N331" s="9">
        <v>13</v>
      </c>
      <c r="O331" s="34">
        <f t="shared" si="308"/>
        <v>13489.628825916556</v>
      </c>
      <c r="P331" s="33" t="str">
        <f t="shared" si="257"/>
        <v>19.6196196196196</v>
      </c>
      <c r="Q331" s="4" t="str">
        <f t="shared" si="258"/>
        <v>1+20.516232741248i</v>
      </c>
      <c r="R331" s="4">
        <f t="shared" si="270"/>
        <v>20.540589229451435</v>
      </c>
      <c r="S331" s="4">
        <f t="shared" si="271"/>
        <v>1.5220929797653795</v>
      </c>
      <c r="T331" s="4" t="str">
        <f t="shared" si="259"/>
        <v>1+0.318689469520027i</v>
      </c>
      <c r="U331" s="4">
        <f t="shared" si="272"/>
        <v>1.0495537041919085</v>
      </c>
      <c r="V331" s="4">
        <f t="shared" si="273"/>
        <v>0.3085136950890916</v>
      </c>
      <c r="W331" t="str">
        <f t="shared" si="260"/>
        <v>1-0.185407769833792i</v>
      </c>
      <c r="X331" s="4">
        <f t="shared" si="274"/>
        <v>1.0170427921748133</v>
      </c>
      <c r="Y331" s="4">
        <f t="shared" si="275"/>
        <v>-0.1833260132040257</v>
      </c>
      <c r="Z331" t="str">
        <f t="shared" si="261"/>
        <v>0.999818029914139+0.124109690827518i</v>
      </c>
      <c r="AA331" s="4">
        <f t="shared" si="276"/>
        <v>1.007491592172705</v>
      </c>
      <c r="AB331" s="4">
        <f t="shared" si="277"/>
        <v>0.12350053224114228</v>
      </c>
      <c r="AC331" s="47" t="str">
        <f t="shared" si="278"/>
        <v>0.050973561292277-1.01071458489965i</v>
      </c>
      <c r="AD331" s="20">
        <f t="shared" si="279"/>
        <v>0.10360293968069602</v>
      </c>
      <c r="AE331" s="43">
        <f t="shared" si="280"/>
        <v>-87.112837213043818</v>
      </c>
      <c r="AF331" t="str">
        <f t="shared" si="262"/>
        <v>72.2956529813786</v>
      </c>
      <c r="AG331" t="str">
        <f t="shared" si="263"/>
        <v>1+16.7311971498014i</v>
      </c>
      <c r="AH331">
        <f t="shared" si="281"/>
        <v>16.76105480169797</v>
      </c>
      <c r="AI331">
        <f t="shared" si="282"/>
        <v>1.5110987585034972</v>
      </c>
      <c r="AJ331" t="str">
        <f t="shared" si="264"/>
        <v>1+0.318689469520027i</v>
      </c>
      <c r="AK331">
        <f t="shared" si="283"/>
        <v>1.0495537041919085</v>
      </c>
      <c r="AL331">
        <f t="shared" si="284"/>
        <v>0.3085136950890916</v>
      </c>
      <c r="AM331" t="str">
        <f t="shared" si="265"/>
        <v>1-0.0410332117042135i</v>
      </c>
      <c r="AN331">
        <f t="shared" si="285"/>
        <v>1.0008415081633868</v>
      </c>
      <c r="AO331">
        <f t="shared" si="286"/>
        <v>-4.1010205400733246E-2</v>
      </c>
      <c r="AP331" s="41" t="str">
        <f t="shared" si="287"/>
        <v>1.4561910860544-4.29047968539945i</v>
      </c>
      <c r="AQ331">
        <f t="shared" si="288"/>
        <v>13.123616260346985</v>
      </c>
      <c r="AR331" s="43">
        <f t="shared" si="289"/>
        <v>-71.252760325544642</v>
      </c>
      <c r="AS331" t="str">
        <f t="shared" si="266"/>
        <v>-0.0000166666666666667</v>
      </c>
      <c r="AT331" t="str">
        <f t="shared" si="267"/>
        <v>0.000288176647970237i</v>
      </c>
      <c r="AU331">
        <f t="shared" si="290"/>
        <v>2.88176647970237E-4</v>
      </c>
      <c r="AV331">
        <f t="shared" si="291"/>
        <v>1.5707963267948966</v>
      </c>
      <c r="AW331" t="str">
        <f t="shared" si="268"/>
        <v>1+0.287927360212478i</v>
      </c>
      <c r="AX331">
        <f t="shared" si="292"/>
        <v>1.0406258524363721</v>
      </c>
      <c r="AY331">
        <f t="shared" si="293"/>
        <v>0.28034451076994188</v>
      </c>
      <c r="AZ331" t="str">
        <f t="shared" si="269"/>
        <v>1+9.78953024722424i</v>
      </c>
      <c r="BA331">
        <f t="shared" si="294"/>
        <v>9.8404726746898827</v>
      </c>
      <c r="BB331">
        <f t="shared" si="295"/>
        <v>1.4689994697302393</v>
      </c>
      <c r="BC331" s="41" t="str">
        <f t="shared" si="296"/>
        <v>-0.507455095516983+0.203945102778422i</v>
      </c>
      <c r="BD331">
        <f t="shared" si="297"/>
        <v>-5.2417737401245255</v>
      </c>
      <c r="BE331" s="43">
        <f t="shared" si="298"/>
        <v>158.10491244572114</v>
      </c>
      <c r="BF331" s="41" t="str">
        <f t="shared" si="299"/>
        <v>0.180263496482596+0.523288074417395i</v>
      </c>
      <c r="BG331" s="20">
        <f t="shared" si="300"/>
        <v>-5.1381708004438327</v>
      </c>
      <c r="BH331" s="43">
        <f t="shared" si="301"/>
        <v>70.992075232677337</v>
      </c>
      <c r="BI331" s="41" t="str">
        <f t="shared" si="306"/>
        <v>0.136070733742808+2.47420881927844i</v>
      </c>
      <c r="BJ331" s="20">
        <f t="shared" si="302"/>
        <v>7.8818425202224613</v>
      </c>
      <c r="BK331" s="43">
        <f t="shared" si="307"/>
        <v>86.852152120176498</v>
      </c>
      <c r="BL331">
        <f t="shared" si="303"/>
        <v>-5.1381708004438327</v>
      </c>
      <c r="BM331" s="43">
        <f t="shared" si="304"/>
        <v>70.992075232677337</v>
      </c>
    </row>
    <row r="332" spans="14:65" x14ac:dyDescent="0.25">
      <c r="N332" s="9">
        <v>14</v>
      </c>
      <c r="O332" s="34">
        <f t="shared" si="308"/>
        <v>13803.842646028841</v>
      </c>
      <c r="P332" s="33" t="str">
        <f t="shared" si="257"/>
        <v>19.6196196196196</v>
      </c>
      <c r="Q332" s="4" t="str">
        <f t="shared" si="258"/>
        <v>1+20.99411719212i</v>
      </c>
      <c r="R332" s="4">
        <f t="shared" si="270"/>
        <v>21.017919894139588</v>
      </c>
      <c r="S332" s="4">
        <f t="shared" si="271"/>
        <v>1.5231999102767737</v>
      </c>
      <c r="T332" s="4" t="str">
        <f t="shared" si="259"/>
        <v>1+0.326112700873514i</v>
      </c>
      <c r="U332" s="4">
        <f t="shared" si="272"/>
        <v>1.0518314949035412</v>
      </c>
      <c r="V332" s="4">
        <f t="shared" si="273"/>
        <v>0.31523796956488881</v>
      </c>
      <c r="W332" t="str">
        <f t="shared" si="260"/>
        <v>1-0.189726471585323i</v>
      </c>
      <c r="X332" s="4">
        <f t="shared" si="274"/>
        <v>1.0178389528900023</v>
      </c>
      <c r="Y332" s="4">
        <f t="shared" si="275"/>
        <v>-0.1874979351931654</v>
      </c>
      <c r="Z332" t="str">
        <f t="shared" si="261"/>
        <v>0.999809453928204+0.12700057689793i</v>
      </c>
      <c r="AA332" s="4">
        <f t="shared" si="276"/>
        <v>1.0078432867745959</v>
      </c>
      <c r="AB332" s="4">
        <f t="shared" si="277"/>
        <v>0.1263481257054202</v>
      </c>
      <c r="AC332" s="47" t="str">
        <f t="shared" si="278"/>
        <v>0.0485570117774844-0.99040255203867i</v>
      </c>
      <c r="AD332" s="20">
        <f t="shared" si="279"/>
        <v>-7.3338371321337734E-2</v>
      </c>
      <c r="AE332" s="43">
        <f t="shared" si="280"/>
        <v>-87.19317572151796</v>
      </c>
      <c r="AF332" t="str">
        <f t="shared" si="262"/>
        <v>72.2956529813786</v>
      </c>
      <c r="AG332" t="str">
        <f t="shared" si="263"/>
        <v>1+17.1209167958595i</v>
      </c>
      <c r="AH332">
        <f t="shared" si="281"/>
        <v>17.150095974388712</v>
      </c>
      <c r="AI332">
        <f t="shared" si="282"/>
        <v>1.5124545238580847</v>
      </c>
      <c r="AJ332" t="str">
        <f t="shared" si="264"/>
        <v>1+0.326112700873514i</v>
      </c>
      <c r="AK332">
        <f t="shared" si="283"/>
        <v>1.0518314949035412</v>
      </c>
      <c r="AL332">
        <f t="shared" si="284"/>
        <v>0.31523796956488881</v>
      </c>
      <c r="AM332" t="str">
        <f t="shared" si="265"/>
        <v>1-0.0419889979876942i</v>
      </c>
      <c r="AN332">
        <f t="shared" si="285"/>
        <v>1.0008811497635524</v>
      </c>
      <c r="AO332">
        <f t="shared" si="286"/>
        <v>-4.1964347461361066E-2</v>
      </c>
      <c r="AP332" s="41" t="str">
        <f t="shared" si="287"/>
        <v>1.44484029304193-4.19608181285872i</v>
      </c>
      <c r="AQ332">
        <f t="shared" si="288"/>
        <v>12.943486212080128</v>
      </c>
      <c r="AR332" s="43">
        <f t="shared" si="289"/>
        <v>-70.999835723751715</v>
      </c>
      <c r="AS332" t="str">
        <f t="shared" si="266"/>
        <v>-0.0000166666666666667</v>
      </c>
      <c r="AT332" t="str">
        <f t="shared" si="267"/>
        <v>0.000294889144406901i</v>
      </c>
      <c r="AU332">
        <f t="shared" si="290"/>
        <v>2.9488914440690099E-4</v>
      </c>
      <c r="AV332">
        <f t="shared" si="291"/>
        <v>1.5707963267948966</v>
      </c>
      <c r="AW332" t="str">
        <f t="shared" si="268"/>
        <v>1+0.294634049991325i</v>
      </c>
      <c r="AX332">
        <f t="shared" si="292"/>
        <v>1.0425014260970056</v>
      </c>
      <c r="AY332">
        <f t="shared" si="293"/>
        <v>0.28652666329936838</v>
      </c>
      <c r="AZ332" t="str">
        <f t="shared" si="269"/>
        <v>1+10.017557699705i</v>
      </c>
      <c r="BA332">
        <f t="shared" si="294"/>
        <v>10.067346336891314</v>
      </c>
      <c r="BB332">
        <f t="shared" si="295"/>
        <v>1.4713012112387329</v>
      </c>
      <c r="BC332" s="41" t="str">
        <f t="shared" si="296"/>
        <v>-0.505630804021811+0.20549446531454i</v>
      </c>
      <c r="BD332">
        <f t="shared" si="297"/>
        <v>-5.2594336811469811</v>
      </c>
      <c r="BE332" s="43">
        <f t="shared" si="298"/>
        <v>157.88258127144567</v>
      </c>
      <c r="BF332" s="41" t="str">
        <f t="shared" si="299"/>
        <v>0.178970321971396+0.510756235865052i</v>
      </c>
      <c r="BG332" s="20">
        <f t="shared" si="300"/>
        <v>-5.3327720524683269</v>
      </c>
      <c r="BH332" s="43">
        <f t="shared" si="301"/>
        <v>70.689405549927756</v>
      </c>
      <c r="BI332" s="41" t="str">
        <f t="shared" si="306"/>
        <v>0.131715829495568+2.41857490426061i</v>
      </c>
      <c r="BJ332" s="20">
        <f t="shared" si="302"/>
        <v>7.6840525309331529</v>
      </c>
      <c r="BK332" s="43">
        <f t="shared" si="307"/>
        <v>86.882745547693972</v>
      </c>
      <c r="BL332">
        <f t="shared" si="303"/>
        <v>-5.3327720524683269</v>
      </c>
      <c r="BM332" s="43">
        <f t="shared" si="304"/>
        <v>70.689405549927756</v>
      </c>
    </row>
    <row r="333" spans="14:65" x14ac:dyDescent="0.25">
      <c r="N333" s="9">
        <v>15</v>
      </c>
      <c r="O333" s="34">
        <f t="shared" si="308"/>
        <v>14125.375446227561</v>
      </c>
      <c r="P333" s="33" t="str">
        <f t="shared" si="257"/>
        <v>19.6196196196196</v>
      </c>
      <c r="Q333" s="4" t="str">
        <f t="shared" si="258"/>
        <v>1+21.4831330018173i</v>
      </c>
      <c r="R333" s="4">
        <f t="shared" si="270"/>
        <v>21.506394481032185</v>
      </c>
      <c r="S333" s="4">
        <f t="shared" si="271"/>
        <v>1.5242817567772773</v>
      </c>
      <c r="T333" s="4" t="str">
        <f t="shared" si="259"/>
        <v>1+0.333708841497617i</v>
      </c>
      <c r="U333" s="4">
        <f t="shared" si="272"/>
        <v>1.0542113596872695</v>
      </c>
      <c r="V333" s="4">
        <f t="shared" si="273"/>
        <v>0.32208847366420063</v>
      </c>
      <c r="W333" t="str">
        <f t="shared" si="260"/>
        <v>1-0.194145768823414i</v>
      </c>
      <c r="X333" s="4">
        <f t="shared" si="274"/>
        <v>1.0186719685708616</v>
      </c>
      <c r="Y333" s="4">
        <f t="shared" si="275"/>
        <v>-0.19176020664103205</v>
      </c>
      <c r="Z333" t="str">
        <f t="shared" si="261"/>
        <v>0.999800473768503+0.129958800355265i</v>
      </c>
      <c r="AA333" s="4">
        <f t="shared" si="276"/>
        <v>1.0082114248199645</v>
      </c>
      <c r="AB333" s="4">
        <f t="shared" si="277"/>
        <v>0.12925999341774674</v>
      </c>
      <c r="AC333" s="47" t="str">
        <f t="shared" si="278"/>
        <v>0.0462189319690052-0.970602875788153i</v>
      </c>
      <c r="AD333" s="20">
        <f t="shared" si="279"/>
        <v>-0.24933183363715891</v>
      </c>
      <c r="AE333" s="43">
        <f t="shared" si="280"/>
        <v>-87.273703883168736</v>
      </c>
      <c r="AF333" t="str">
        <f t="shared" si="262"/>
        <v>72.2956529813786</v>
      </c>
      <c r="AG333" t="str">
        <f t="shared" si="263"/>
        <v>1+17.5197141786249i</v>
      </c>
      <c r="AH333">
        <f t="shared" si="281"/>
        <v>17.54823024982036</v>
      </c>
      <c r="AI333">
        <f t="shared" si="282"/>
        <v>1.5137796357383548</v>
      </c>
      <c r="AJ333" t="str">
        <f t="shared" si="264"/>
        <v>1+0.333708841497617i</v>
      </c>
      <c r="AK333">
        <f t="shared" si="283"/>
        <v>1.0542113596872695</v>
      </c>
      <c r="AL333">
        <f t="shared" si="284"/>
        <v>0.32208847366420063</v>
      </c>
      <c r="AM333" t="str">
        <f t="shared" si="265"/>
        <v>1-0.0429670473936982i</v>
      </c>
      <c r="AN333">
        <f t="shared" si="285"/>
        <v>1.0009226579320363</v>
      </c>
      <c r="AO333">
        <f t="shared" si="286"/>
        <v>-4.2940635193687959E-2</v>
      </c>
      <c r="AP333" s="41" t="str">
        <f t="shared" si="287"/>
        <v>1.43399697370497-4.1038492586038i</v>
      </c>
      <c r="AQ333">
        <f t="shared" si="288"/>
        <v>12.764141453893812</v>
      </c>
      <c r="AR333" s="43">
        <f t="shared" si="289"/>
        <v>-70.739191236098847</v>
      </c>
      <c r="AS333" t="str">
        <f t="shared" si="266"/>
        <v>-0.0000166666666666667</v>
      </c>
      <c r="AT333" t="str">
        <f t="shared" si="267"/>
        <v>0.00030175799497125i</v>
      </c>
      <c r="AU333">
        <f t="shared" si="290"/>
        <v>3.0175799497125002E-4</v>
      </c>
      <c r="AV333">
        <f t="shared" si="291"/>
        <v>1.5707963267948966</v>
      </c>
      <c r="AW333" t="str">
        <f t="shared" si="268"/>
        <v>1+0.30149695864342i</v>
      </c>
      <c r="AX333">
        <f t="shared" si="292"/>
        <v>1.0444617829634706</v>
      </c>
      <c r="AY333">
        <f t="shared" si="293"/>
        <v>0.29282958456966163</v>
      </c>
      <c r="AZ333" t="str">
        <f t="shared" si="269"/>
        <v>1+10.2508965938763i</v>
      </c>
      <c r="BA333">
        <f t="shared" si="294"/>
        <v>10.29955731953295</v>
      </c>
      <c r="BB333">
        <f t="shared" si="295"/>
        <v>1.4735515812593716</v>
      </c>
      <c r="BC333" s="41" t="str">
        <f t="shared" si="296"/>
        <v>-0.503734541996368+0.20710632993721i</v>
      </c>
      <c r="BD333">
        <f t="shared" si="297"/>
        <v>-5.277680611666705</v>
      </c>
      <c r="BE333" s="43">
        <f t="shared" si="298"/>
        <v>157.65038718857994</v>
      </c>
      <c r="BF333" s="41" t="str">
        <f t="shared" si="299"/>
        <v>0.177735926904018+0.498498428469221i</v>
      </c>
      <c r="BG333" s="20">
        <f t="shared" si="300"/>
        <v>-5.5270124453038676</v>
      </c>
      <c r="BH333" s="43">
        <f t="shared" si="301"/>
        <v>70.376683305411191</v>
      </c>
      <c r="BI333" s="41" t="str">
        <f t="shared" si="306"/>
        <v>0.127579349791522+2.36424047707002i</v>
      </c>
      <c r="BJ333" s="20">
        <f t="shared" si="302"/>
        <v>7.4864608422271015</v>
      </c>
      <c r="BK333" s="43">
        <f t="shared" si="307"/>
        <v>86.911195952481123</v>
      </c>
      <c r="BL333">
        <f t="shared" si="303"/>
        <v>-5.5270124453038676</v>
      </c>
      <c r="BM333" s="43">
        <f t="shared" si="304"/>
        <v>70.376683305411191</v>
      </c>
    </row>
    <row r="334" spans="14:65" x14ac:dyDescent="0.25">
      <c r="N334" s="9">
        <v>16</v>
      </c>
      <c r="O334" s="34">
        <f t="shared" si="308"/>
        <v>14454.397707459291</v>
      </c>
      <c r="P334" s="33" t="str">
        <f t="shared" si="257"/>
        <v>19.6196196196196</v>
      </c>
      <c r="Q334" s="4" t="str">
        <f t="shared" si="258"/>
        <v>1+21.9835394529951i</v>
      </c>
      <c r="R334" s="4">
        <f t="shared" si="270"/>
        <v>22.006271989625869</v>
      </c>
      <c r="S334" s="4">
        <f t="shared" si="271"/>
        <v>1.5253390827409898</v>
      </c>
      <c r="T334" s="4" t="str">
        <f t="shared" si="259"/>
        <v>1+0.34148191896664i</v>
      </c>
      <c r="U334" s="4">
        <f t="shared" si="272"/>
        <v>1.0566976393373551</v>
      </c>
      <c r="V334" s="4">
        <f t="shared" si="273"/>
        <v>0.32906626682057377</v>
      </c>
      <c r="W334" t="str">
        <f t="shared" si="260"/>
        <v>1-0.198668004717959i</v>
      </c>
      <c r="X334" s="4">
        <f t="shared" si="274"/>
        <v>1.0195435135876325</v>
      </c>
      <c r="Y334" s="4">
        <f t="shared" si="275"/>
        <v>-0.19611446770075414</v>
      </c>
      <c r="Z334" t="str">
        <f t="shared" si="261"/>
        <v>0.999791070386915+0.132985929688756i</v>
      </c>
      <c r="AA334" s="4">
        <f t="shared" si="276"/>
        <v>1.0085967687438799</v>
      </c>
      <c r="AB334" s="4">
        <f t="shared" si="277"/>
        <v>0.13223748878054989</v>
      </c>
      <c r="AC334" s="47" t="str">
        <f t="shared" si="278"/>
        <v>0.0439544870659603-0.951305386240409i</v>
      </c>
      <c r="AD334" s="20">
        <f t="shared" si="279"/>
        <v>-0.4243392507313668</v>
      </c>
      <c r="AE334" s="43">
        <f t="shared" si="280"/>
        <v>-87.354564799712264</v>
      </c>
      <c r="AF334" t="str">
        <f t="shared" si="262"/>
        <v>72.2956529813786</v>
      </c>
      <c r="AG334" t="str">
        <f t="shared" si="263"/>
        <v>1+17.9278007457486i</v>
      </c>
      <c r="AH334">
        <f t="shared" si="281"/>
        <v>17.955668731051595</v>
      </c>
      <c r="AI334">
        <f t="shared" si="282"/>
        <v>1.5150747781112968</v>
      </c>
      <c r="AJ334" t="str">
        <f t="shared" si="264"/>
        <v>1+0.34148191896664i</v>
      </c>
      <c r="AK334">
        <f t="shared" si="283"/>
        <v>1.0566976393373551</v>
      </c>
      <c r="AL334">
        <f t="shared" si="284"/>
        <v>0.32906626682057377</v>
      </c>
      <c r="AM334" t="str">
        <f t="shared" si="265"/>
        <v>1-0.0439678784969664i</v>
      </c>
      <c r="AN334">
        <f t="shared" si="285"/>
        <v>1.0009661204753755</v>
      </c>
      <c r="AO334">
        <f t="shared" si="286"/>
        <v>-4.3939578789857409E-2</v>
      </c>
      <c r="AP334" s="41" t="str">
        <f t="shared" si="287"/>
        <v>1.42363858536807-4.01373706555481i</v>
      </c>
      <c r="AQ334">
        <f t="shared" si="288"/>
        <v>12.585614314571183</v>
      </c>
      <c r="AR334" s="43">
        <f t="shared" si="289"/>
        <v>-70.470834581793653</v>
      </c>
      <c r="AS334" t="str">
        <f t="shared" si="266"/>
        <v>-0.0000166666666666667</v>
      </c>
      <c r="AT334" t="str">
        <f t="shared" si="267"/>
        <v>0.000308786841618771i</v>
      </c>
      <c r="AU334">
        <f t="shared" si="290"/>
        <v>3.0878684161877101E-4</v>
      </c>
      <c r="AV334">
        <f t="shared" si="291"/>
        <v>1.5707963267948966</v>
      </c>
      <c r="AW334" t="str">
        <f t="shared" si="268"/>
        <v>1+0.308519724973772i</v>
      </c>
      <c r="AX334">
        <f t="shared" si="292"/>
        <v>1.0465105927308582</v>
      </c>
      <c r="AY334">
        <f t="shared" si="293"/>
        <v>0.2992546125604934</v>
      </c>
      <c r="AZ334" t="str">
        <f t="shared" si="269"/>
        <v>1+10.4896706491082i</v>
      </c>
      <c r="BA334">
        <f t="shared" si="294"/>
        <v>10.537228778325071</v>
      </c>
      <c r="BB334">
        <f t="shared" si="295"/>
        <v>1.475751681748094</v>
      </c>
      <c r="BC334" s="41" t="str">
        <f t="shared" si="296"/>
        <v>-0.501764096592159+0.208778787163607i</v>
      </c>
      <c r="BD334">
        <f t="shared" si="297"/>
        <v>-5.2965451016153375</v>
      </c>
      <c r="BE334" s="43">
        <f t="shared" si="298"/>
        <v>157.40831667396037</v>
      </c>
      <c r="BF334" s="41" t="str">
        <f t="shared" si="299"/>
        <v>0.176557601267656+0.486507652210203i</v>
      </c>
      <c r="BG334" s="20">
        <f t="shared" si="300"/>
        <v>-5.7208843523467117</v>
      </c>
      <c r="BH334" s="43">
        <f t="shared" si="301"/>
        <v>70.053751874248093</v>
      </c>
      <c r="BI334" s="41" t="str">
        <f t="shared" si="306"/>
        <v>0.123652427879199+2.31117468986903i</v>
      </c>
      <c r="BJ334" s="20">
        <f t="shared" si="302"/>
        <v>7.2890692129558419</v>
      </c>
      <c r="BK334" s="43">
        <f t="shared" si="307"/>
        <v>86.937482092166732</v>
      </c>
      <c r="BL334">
        <f t="shared" si="303"/>
        <v>-5.7208843523467117</v>
      </c>
      <c r="BM334" s="43">
        <f t="shared" si="304"/>
        <v>70.053751874248093</v>
      </c>
    </row>
    <row r="335" spans="14:65" x14ac:dyDescent="0.25">
      <c r="N335" s="9">
        <v>17</v>
      </c>
      <c r="O335" s="34">
        <f t="shared" si="308"/>
        <v>14791.083881682089</v>
      </c>
      <c r="P335" s="33" t="str">
        <f t="shared" si="257"/>
        <v>19.6196196196196</v>
      </c>
      <c r="Q335" s="4" t="str">
        <f t="shared" si="258"/>
        <v>1+22.4956018677774i</v>
      </c>
      <c r="R335" s="4">
        <f t="shared" si="270"/>
        <v>22.517817465144127</v>
      </c>
      <c r="S335" s="4">
        <f t="shared" si="271"/>
        <v>1.5263724393145524</v>
      </c>
      <c r="T335" s="4" t="str">
        <f t="shared" si="259"/>
        <v>1+0.349436054669147i</v>
      </c>
      <c r="U335" s="4">
        <f t="shared" si="272"/>
        <v>1.0592948391749764</v>
      </c>
      <c r="V335" s="4">
        <f t="shared" si="273"/>
        <v>0.33617232988543433</v>
      </c>
      <c r="W335" t="str">
        <f t="shared" si="260"/>
        <v>1-0.203295577018288i</v>
      </c>
      <c r="X335" s="4">
        <f t="shared" si="274"/>
        <v>1.0204553354435453</v>
      </c>
      <c r="Y335" s="4">
        <f t="shared" si="275"/>
        <v>-0.20056236630240332</v>
      </c>
      <c r="Z335" t="str">
        <f t="shared" si="261"/>
        <v>0.999781223837605+0.136083569922445i</v>
      </c>
      <c r="AA335" s="4">
        <f t="shared" si="276"/>
        <v>1.009000115728961</v>
      </c>
      <c r="AB335" s="4">
        <f t="shared" si="277"/>
        <v>0.1352819868253162</v>
      </c>
      <c r="AC335" s="47" t="str">
        <f t="shared" si="278"/>
        <v>0.0417589999317895-0.932500122499295i</v>
      </c>
      <c r="AD335" s="20">
        <f t="shared" si="279"/>
        <v>-0.59832140152809155</v>
      </c>
      <c r="AE335" s="43">
        <f t="shared" si="280"/>
        <v>-87.435907053816791</v>
      </c>
      <c r="AF335" t="str">
        <f t="shared" si="262"/>
        <v>72.2956529813786</v>
      </c>
      <c r="AG335" t="str">
        <f t="shared" si="263"/>
        <v>1+18.3453928701303i</v>
      </c>
      <c r="AH335">
        <f t="shared" si="281"/>
        <v>18.372627453889869</v>
      </c>
      <c r="AI335">
        <f t="shared" si="282"/>
        <v>1.5163406202889913</v>
      </c>
      <c r="AJ335" t="str">
        <f t="shared" si="264"/>
        <v>1+0.349436054669147i</v>
      </c>
      <c r="AK335">
        <f t="shared" si="283"/>
        <v>1.0592948391749764</v>
      </c>
      <c r="AL335">
        <f t="shared" si="284"/>
        <v>0.33617232988543433</v>
      </c>
      <c r="AM335" t="str">
        <f t="shared" si="265"/>
        <v>1-0.0449920219513974i</v>
      </c>
      <c r="AN335">
        <f t="shared" si="285"/>
        <v>1.0010116293226943</v>
      </c>
      <c r="AO335">
        <f t="shared" si="286"/>
        <v>-4.4961699923772046E-2</v>
      </c>
      <c r="AP335" s="41" t="str">
        <f t="shared" si="287"/>
        <v>1.41374357395806-3.92570114026881i</v>
      </c>
      <c r="AQ335">
        <f t="shared" si="288"/>
        <v>12.407937904373981</v>
      </c>
      <c r="AR335" s="43">
        <f t="shared" si="289"/>
        <v>-70.194777800659324</v>
      </c>
      <c r="AS335" t="str">
        <f t="shared" si="266"/>
        <v>-0.0000166666666666667</v>
      </c>
      <c r="AT335" t="str">
        <f t="shared" si="267"/>
        <v>0.000315979411136995i</v>
      </c>
      <c r="AU335">
        <f t="shared" si="290"/>
        <v>3.1597941113699498E-4</v>
      </c>
      <c r="AV335">
        <f t="shared" si="291"/>
        <v>1.5707963267948966</v>
      </c>
      <c r="AW335" t="str">
        <f t="shared" si="268"/>
        <v>1+0.315706072546047i</v>
      </c>
      <c r="AX335">
        <f t="shared" si="292"/>
        <v>1.0486516696417596</v>
      </c>
      <c r="AY335">
        <f t="shared" si="293"/>
        <v>0.30580303127415498</v>
      </c>
      <c r="AZ335" t="str">
        <f t="shared" si="269"/>
        <v>1+10.7340064665656i</v>
      </c>
      <c r="BA335">
        <f t="shared" si="294"/>
        <v>10.780486761935757</v>
      </c>
      <c r="BB335">
        <f t="shared" si="295"/>
        <v>1.4779025939847483</v>
      </c>
      <c r="BC335" s="41" t="str">
        <f t="shared" si="296"/>
        <v>-0.499717241921438+0.210509820513849i</v>
      </c>
      <c r="BD335">
        <f t="shared" si="297"/>
        <v>-5.3160583565974466</v>
      </c>
      <c r="BE335" s="43">
        <f t="shared" si="298"/>
        <v>157.15635811244638</v>
      </c>
      <c r="BF335" s="41" t="str">
        <f t="shared" si="299"/>
        <v>0.175432741145157+0.47477706888723i</v>
      </c>
      <c r="BG335" s="20">
        <f t="shared" si="300"/>
        <v>-5.9143797581255351</v>
      </c>
      <c r="BH335" s="43">
        <f t="shared" si="301"/>
        <v>69.720451058629678</v>
      </c>
      <c r="BI335" s="41" t="str">
        <f t="shared" si="306"/>
        <v>0.119926602866521+2.25934745242949i</v>
      </c>
      <c r="BJ335" s="20">
        <f t="shared" si="302"/>
        <v>7.0918795477765251</v>
      </c>
      <c r="BK335" s="43">
        <f t="shared" si="307"/>
        <v>86.961580311787088</v>
      </c>
      <c r="BL335">
        <f t="shared" si="303"/>
        <v>-5.9143797581255351</v>
      </c>
      <c r="BM335" s="43">
        <f t="shared" si="304"/>
        <v>69.720451058629678</v>
      </c>
    </row>
    <row r="336" spans="14:65" x14ac:dyDescent="0.25">
      <c r="N336" s="9">
        <v>18</v>
      </c>
      <c r="O336" s="34">
        <f t="shared" si="308"/>
        <v>15135.612484362096</v>
      </c>
      <c r="P336" s="33" t="str">
        <f t="shared" si="257"/>
        <v>19.6196196196196</v>
      </c>
      <c r="Q336" s="4" t="str">
        <f t="shared" si="258"/>
        <v>1+23.0195917484344i</v>
      </c>
      <c r="R336" s="4">
        <f t="shared" si="270"/>
        <v>23.041302139084703</v>
      </c>
      <c r="S336" s="4">
        <f t="shared" si="271"/>
        <v>1.5273823655647152</v>
      </c>
      <c r="T336" s="4" t="str">
        <f t="shared" si="259"/>
        <v>1+0.357575465993173i</v>
      </c>
      <c r="U336" s="4">
        <f t="shared" si="272"/>
        <v>1.0620076336261595</v>
      </c>
      <c r="V336" s="4">
        <f t="shared" si="273"/>
        <v>0.34340755903394332</v>
      </c>
      <c r="W336" t="str">
        <f t="shared" si="260"/>
        <v>1-0.208030939324486i</v>
      </c>
      <c r="X336" s="4">
        <f t="shared" si="274"/>
        <v>1.0214092577004714</v>
      </c>
      <c r="Y336" s="4">
        <f t="shared" si="275"/>
        <v>-0.20510555647519157</v>
      </c>
      <c r="Z336" t="str">
        <f t="shared" si="261"/>
        <v>0.999770913234723+0.139253363466186i</v>
      </c>
      <c r="AA336" s="4">
        <f t="shared" si="276"/>
        <v>1.0094222992320101</v>
      </c>
      <c r="AB336" s="4">
        <f t="shared" si="277"/>
        <v>0.13839488405415754</v>
      </c>
      <c r="AC336" s="47" t="str">
        <f t="shared" si="278"/>
        <v>0.0396279421868876-0.914177328838793i</v>
      </c>
      <c r="AD336" s="20">
        <f t="shared" si="279"/>
        <v>-0.77123803973827698</v>
      </c>
      <c r="AE336" s="43">
        <f t="shared" si="280"/>
        <v>-87.517884967247625</v>
      </c>
      <c r="AF336" t="str">
        <f t="shared" si="262"/>
        <v>72.2956529813786</v>
      </c>
      <c r="AG336" t="str">
        <f t="shared" si="263"/>
        <v>1+18.7727119646416i</v>
      </c>
      <c r="AH336">
        <f t="shared" si="281"/>
        <v>18.799327501466585</v>
      </c>
      <c r="AI336">
        <f t="shared" si="282"/>
        <v>1.5175778172018808</v>
      </c>
      <c r="AJ336" t="str">
        <f t="shared" si="264"/>
        <v>1+0.357575465993173i</v>
      </c>
      <c r="AK336">
        <f t="shared" si="283"/>
        <v>1.0620076336261595</v>
      </c>
      <c r="AL336">
        <f t="shared" si="284"/>
        <v>0.34340755903394332</v>
      </c>
      <c r="AM336" t="str">
        <f t="shared" si="265"/>
        <v>1-0.0460400207714068i</v>
      </c>
      <c r="AN336">
        <f t="shared" si="285"/>
        <v>1.0010592807184955</v>
      </c>
      <c r="AO336">
        <f t="shared" si="286"/>
        <v>-4.6007531989985126E-2</v>
      </c>
      <c r="AP336" s="41" t="str">
        <f t="shared" si="287"/>
        <v>1.40429133177255-3.83969824665701i</v>
      </c>
      <c r="AQ336">
        <f t="shared" si="288"/>
        <v>12.231146112668512</v>
      </c>
      <c r="AR336" s="43">
        <f t="shared" si="289"/>
        <v>-69.911037631648412</v>
      </c>
      <c r="AS336" t="str">
        <f t="shared" si="266"/>
        <v>-0.0000166666666666667</v>
      </c>
      <c r="AT336" t="str">
        <f t="shared" si="267"/>
        <v>0.000323339517121487i</v>
      </c>
      <c r="AU336">
        <f t="shared" si="290"/>
        <v>3.2333951712148698E-4</v>
      </c>
      <c r="AV336">
        <f t="shared" si="291"/>
        <v>1.5707963267948966</v>
      </c>
      <c r="AW336" t="str">
        <f t="shared" si="268"/>
        <v>1+0.323059811656849i</v>
      </c>
      <c r="AX336">
        <f t="shared" si="292"/>
        <v>1.0508889769655778</v>
      </c>
      <c r="AY336">
        <f t="shared" si="293"/>
        <v>0.31247606549711932</v>
      </c>
      <c r="AZ336" t="str">
        <f t="shared" si="269"/>
        <v>1+10.9840335963328i</v>
      </c>
      <c r="BA336">
        <f t="shared" si="294"/>
        <v>11.029460278969578</v>
      </c>
      <c r="BB336">
        <f t="shared" si="295"/>
        <v>1.4800053787593326</v>
      </c>
      <c r="BC336" s="41" t="str">
        <f t="shared" si="296"/>
        <v>-0.497591744452056+0.21229730118529i</v>
      </c>
      <c r="BD336">
        <f t="shared" si="297"/>
        <v>-5.3362522288500465</v>
      </c>
      <c r="BE336" s="43">
        <f t="shared" si="298"/>
        <v>156.89450210773222</v>
      </c>
      <c r="BF336" s="41" t="str">
        <f t="shared" si="299"/>
        <v>0.174358842835435+0.463299996973219i</v>
      </c>
      <c r="BG336" s="20">
        <f t="shared" si="300"/>
        <v>-6.1074902685883163</v>
      </c>
      <c r="BH336" s="43">
        <f t="shared" si="301"/>
        <v>69.376617140484584</v>
      </c>
      <c r="BI336" s="41" t="str">
        <f t="shared" si="306"/>
        <v>0.116393801635569+2.20872940853677i</v>
      </c>
      <c r="BJ336" s="20">
        <f t="shared" si="302"/>
        <v>6.8948938838184572</v>
      </c>
      <c r="BK336" s="43">
        <f t="shared" si="307"/>
        <v>86.983464476083853</v>
      </c>
      <c r="BL336">
        <f t="shared" si="303"/>
        <v>-6.1074902685883163</v>
      </c>
      <c r="BM336" s="43">
        <f t="shared" si="304"/>
        <v>69.376617140484584</v>
      </c>
    </row>
    <row r="337" spans="14:65" x14ac:dyDescent="0.25">
      <c r="N337" s="9">
        <v>19</v>
      </c>
      <c r="O337" s="34">
        <f t="shared" si="308"/>
        <v>15488.166189124853</v>
      </c>
      <c r="P337" s="33" t="str">
        <f t="shared" si="257"/>
        <v>19.6196196196196</v>
      </c>
      <c r="Q337" s="4" t="str">
        <f t="shared" si="258"/>
        <v>1+23.5557869213368i</v>
      </c>
      <c r="R337" s="4">
        <f t="shared" si="270"/>
        <v>23.57700357304596</v>
      </c>
      <c r="S337" s="4">
        <f t="shared" si="271"/>
        <v>1.5283693887224497</v>
      </c>
      <c r="T337" s="4" t="str">
        <f t="shared" si="259"/>
        <v>1+0.36590446856234i</v>
      </c>
      <c r="U337" s="4">
        <f t="shared" si="272"/>
        <v>1.0648408707942649</v>
      </c>
      <c r="V337" s="4">
        <f t="shared" si="273"/>
        <v>0.35077275950369502</v>
      </c>
      <c r="W337" t="str">
        <f t="shared" si="260"/>
        <v>1-0.21287660238833i</v>
      </c>
      <c r="X337" s="4">
        <f t="shared" si="274"/>
        <v>1.0224071829972632</v>
      </c>
      <c r="Y337" s="4">
        <f t="shared" si="275"/>
        <v>-0.20974569653265487</v>
      </c>
      <c r="Z337" t="str">
        <f t="shared" si="261"/>
        <v>0.999760116708098+0.142496990986474i</v>
      </c>
      <c r="AA337" s="4">
        <f t="shared" si="276"/>
        <v>1.0098641905723704</v>
      </c>
      <c r="AB337" s="4">
        <f t="shared" si="277"/>
        <v>0.14157759823564511</v>
      </c>
      <c r="AC337" s="47" t="str">
        <f t="shared" si="278"/>
        <v>0.0375569256310518-0.896327450732091i</v>
      </c>
      <c r="AD337" s="20">
        <f t="shared" si="279"/>
        <v>-0.94304789646908227</v>
      </c>
      <c r="AE337" s="43">
        <f t="shared" si="280"/>
        <v>-87.600658857920862</v>
      </c>
      <c r="AF337" t="str">
        <f t="shared" si="262"/>
        <v>72.2956529813786</v>
      </c>
      <c r="AG337" t="str">
        <f t="shared" si="263"/>
        <v>1+19.2099845995228i</v>
      </c>
      <c r="AH337">
        <f t="shared" si="281"/>
        <v>19.235995121487822</v>
      </c>
      <c r="AI337">
        <f t="shared" si="282"/>
        <v>1.5187870096697729</v>
      </c>
      <c r="AJ337" t="str">
        <f t="shared" si="264"/>
        <v>1+0.36590446856234i</v>
      </c>
      <c r="AK337">
        <f t="shared" si="283"/>
        <v>1.0648408707942649</v>
      </c>
      <c r="AL337">
        <f t="shared" si="284"/>
        <v>0.35077275950369502</v>
      </c>
      <c r="AM337" t="str">
        <f t="shared" si="265"/>
        <v>1-0.047112430619841i</v>
      </c>
      <c r="AN337">
        <f t="shared" si="285"/>
        <v>1.0011091754243937</v>
      </c>
      <c r="AO337">
        <f t="shared" si="286"/>
        <v>-4.7077620346140561E-2</v>
      </c>
      <c r="AP337" s="41" t="str">
        <f t="shared" si="287"/>
        <v>1.39526215695304-3.7556859990475i</v>
      </c>
      <c r="AQ337">
        <f t="shared" si="288"/>
        <v>12.055273602580341</v>
      </c>
      <c r="AR337" s="43">
        <f t="shared" si="289"/>
        <v>-69.619635901006831</v>
      </c>
      <c r="AS337" t="str">
        <f t="shared" si="266"/>
        <v>-0.0000166666666666667</v>
      </c>
      <c r="AT337" t="str">
        <f t="shared" si="267"/>
        <v>0.000330871061997861i</v>
      </c>
      <c r="AU337">
        <f t="shared" si="290"/>
        <v>3.30871061997861E-4</v>
      </c>
      <c r="AV337">
        <f t="shared" si="291"/>
        <v>1.5707963267948966</v>
      </c>
      <c r="AW337" t="str">
        <f t="shared" si="268"/>
        <v>1+0.330584841355994i</v>
      </c>
      <c r="AX337">
        <f t="shared" si="292"/>
        <v>1.0532266315159182</v>
      </c>
      <c r="AY337">
        <f t="shared" si="293"/>
        <v>0.31927487535548515</v>
      </c>
      <c r="AZ337" t="str">
        <f t="shared" si="269"/>
        <v>1+11.2398846061038i</v>
      </c>
      <c r="BA337">
        <f t="shared" si="294"/>
        <v>11.28428136650842</v>
      </c>
      <c r="BB337">
        <f t="shared" si="295"/>
        <v>1.4820610765719513</v>
      </c>
      <c r="BC337" s="41" t="str">
        <f t="shared" si="296"/>
        <v>-0.495385368915481+0.214138982847442i</v>
      </c>
      <c r="BD337">
        <f t="shared" si="297"/>
        <v>-5.3571592258693368</v>
      </c>
      <c r="BE337" s="43">
        <f t="shared" si="298"/>
        <v>156.62274180575324</v>
      </c>
      <c r="BF337" s="41" t="str">
        <f t="shared" si="299"/>
        <v>0.173333497138941+0.4520699067035i</v>
      </c>
      <c r="BG337" s="20">
        <f t="shared" si="300"/>
        <v>-6.3002071223384162</v>
      </c>
      <c r="BH337" s="43">
        <f t="shared" si="301"/>
        <v>69.022082947832345</v>
      </c>
      <c r="BI337" s="41" t="str">
        <f t="shared" si="306"/>
        <v>0.113046321374419+2.1592919132643i</v>
      </c>
      <c r="BJ337" s="20">
        <f t="shared" si="302"/>
        <v>6.6981143767109828</v>
      </c>
      <c r="BK337" s="43">
        <f t="shared" si="307"/>
        <v>87.003105904746405</v>
      </c>
      <c r="BL337">
        <f t="shared" si="303"/>
        <v>-6.3002071223384162</v>
      </c>
      <c r="BM337" s="43">
        <f t="shared" si="304"/>
        <v>69.022082947832345</v>
      </c>
    </row>
    <row r="338" spans="14:65" x14ac:dyDescent="0.25">
      <c r="N338" s="9">
        <v>20</v>
      </c>
      <c r="O338" s="34">
        <f t="shared" si="308"/>
        <v>15848.931924611146</v>
      </c>
      <c r="P338" s="33" t="str">
        <f t="shared" si="257"/>
        <v>19.6196196196196</v>
      </c>
      <c r="Q338" s="4" t="str">
        <f t="shared" si="258"/>
        <v>1+24.1044716842626i</v>
      </c>
      <c r="R338" s="4">
        <f t="shared" si="270"/>
        <v>24.125205805908006</v>
      </c>
      <c r="S338" s="4">
        <f t="shared" si="271"/>
        <v>1.5293340244235369</v>
      </c>
      <c r="T338" s="4" t="str">
        <f t="shared" si="259"/>
        <v>1+0.374427478524055i</v>
      </c>
      <c r="U338" s="4">
        <f t="shared" si="272"/>
        <v>1.0677995770152195</v>
      </c>
      <c r="V338" s="4">
        <f t="shared" si="273"/>
        <v>0.35826863918087215</v>
      </c>
      <c r="W338" t="str">
        <f t="shared" si="260"/>
        <v>1-0.217835135444514i</v>
      </c>
      <c r="X338" s="4">
        <f t="shared" si="274"/>
        <v>1.0234510961614773</v>
      </c>
      <c r="Y338" s="4">
        <f t="shared" si="275"/>
        <v>-0.21448444711428752</v>
      </c>
      <c r="Z338" t="str">
        <f t="shared" si="261"/>
        <v>0.999748811356849+0.145816172297552i</v>
      </c>
      <c r="AA338" s="4">
        <f t="shared" si="276"/>
        <v>1.0103267005839951</v>
      </c>
      <c r="AB338" s="4">
        <f t="shared" si="277"/>
        <v>0.14483156815143686</v>
      </c>
      <c r="AC338" s="47" t="str">
        <f t="shared" si="278"/>
        <v>0.0355416939851835-0.878941130756726i</v>
      </c>
      <c r="AD338" s="20">
        <f t="shared" si="279"/>
        <v>-1.1137086863703847</v>
      </c>
      <c r="AE338" s="43">
        <f t="shared" si="280"/>
        <v>-87.684395294450795</v>
      </c>
      <c r="AF338" t="str">
        <f t="shared" si="262"/>
        <v>72.2956529813786</v>
      </c>
      <c r="AG338" t="str">
        <f t="shared" si="263"/>
        <v>1+19.6574426225129i</v>
      </c>
      <c r="AH338">
        <f t="shared" si="281"/>
        <v>19.682861846220096</v>
      </c>
      <c r="AI338">
        <f t="shared" si="282"/>
        <v>1.5199688246703655</v>
      </c>
      <c r="AJ338" t="str">
        <f t="shared" si="264"/>
        <v>1+0.374427478524055i</v>
      </c>
      <c r="AK338">
        <f t="shared" si="283"/>
        <v>1.0677995770152195</v>
      </c>
      <c r="AL338">
        <f t="shared" si="284"/>
        <v>0.35826863918087215</v>
      </c>
      <c r="AM338" t="str">
        <f t="shared" si="265"/>
        <v>1-0.0482098201025964i</v>
      </c>
      <c r="AN338">
        <f t="shared" si="285"/>
        <v>1.0011614189301967</v>
      </c>
      <c r="AO338">
        <f t="shared" si="286"/>
        <v>-4.8172522558901261E-2</v>
      </c>
      <c r="AP338" s="41" t="str">
        <f t="shared" si="287"/>
        <v>1.38663721460283-3.67362285466063i</v>
      </c>
      <c r="AQ338">
        <f t="shared" si="288"/>
        <v>11.880355802479613</v>
      </c>
      <c r="AR338" s="43">
        <f t="shared" si="289"/>
        <v>-69.320599919236685</v>
      </c>
      <c r="AS338" t="str">
        <f t="shared" si="266"/>
        <v>-0.0000166666666666667</v>
      </c>
      <c r="AT338" t="str">
        <f t="shared" si="267"/>
        <v>0.000338578039090901i</v>
      </c>
      <c r="AU338">
        <f t="shared" si="290"/>
        <v>3.38578039090901E-4</v>
      </c>
      <c r="AV338">
        <f t="shared" si="291"/>
        <v>1.5707963267948966</v>
      </c>
      <c r="AW338" t="str">
        <f t="shared" si="268"/>
        <v>1+0.338285151513833i</v>
      </c>
      <c r="AX338">
        <f t="shared" si="292"/>
        <v>1.055668908197422</v>
      </c>
      <c r="AY338">
        <f t="shared" si="293"/>
        <v>0.32620055066985382</v>
      </c>
      <c r="AZ338" t="str">
        <f t="shared" si="269"/>
        <v>1+11.5016951514703i</v>
      </c>
      <c r="BA338">
        <f t="shared" si="294"/>
        <v>11.545085160246996</v>
      </c>
      <c r="BB338">
        <f t="shared" si="295"/>
        <v>1.4840707078450563</v>
      </c>
      <c r="BC338" s="41" t="str">
        <f t="shared" si="296"/>
        <v>-0.493095884744536+0.216032496598397i</v>
      </c>
      <c r="BD338">
        <f t="shared" si="297"/>
        <v>-5.3788125165276002</v>
      </c>
      <c r="BE338" s="43">
        <f t="shared" si="298"/>
        <v>156.3410732302884</v>
      </c>
      <c r="BF338" s="41" t="str">
        <f t="shared" si="299"/>
        <v>0.17235438379945+0.441080415393806i</v>
      </c>
      <c r="BG338" s="20">
        <f t="shared" si="300"/>
        <v>-6.4925212028979873</v>
      </c>
      <c r="BH338" s="43">
        <f t="shared" si="301"/>
        <v>68.656677935837607</v>
      </c>
      <c r="BI338" s="41" t="str">
        <f t="shared" si="306"/>
        <v>0.109876812698985+2.11100701108353i</v>
      </c>
      <c r="BJ338" s="20">
        <f t="shared" si="302"/>
        <v>6.5015432859520219</v>
      </c>
      <c r="BK338" s="43">
        <f t="shared" si="307"/>
        <v>87.020473311051717</v>
      </c>
      <c r="BL338">
        <f t="shared" si="303"/>
        <v>-6.4925212028979873</v>
      </c>
      <c r="BM338" s="43">
        <f t="shared" si="304"/>
        <v>68.656677935837607</v>
      </c>
    </row>
    <row r="339" spans="14:65" x14ac:dyDescent="0.25">
      <c r="N339" s="9">
        <v>21</v>
      </c>
      <c r="O339" s="34">
        <f t="shared" si="308"/>
        <v>16218.100973589309</v>
      </c>
      <c r="P339" s="33" t="str">
        <f t="shared" ref="P339:P402" si="309">COMPLEX(Adc,0)</f>
        <v>19.6196196196196</v>
      </c>
      <c r="Q339" s="4" t="str">
        <f t="shared" ref="Q339:Q402" si="310">IMSUM(COMPLEX(1,0),IMDIV(COMPLEX(0,2*PI()*O339),COMPLEX(wp_lf,0)))</f>
        <v>1+24.6659369571357i</v>
      </c>
      <c r="R339" s="4">
        <f t="shared" si="270"/>
        <v>24.686199504447675</v>
      </c>
      <c r="S339" s="4">
        <f t="shared" si="271"/>
        <v>1.5302767769455838</v>
      </c>
      <c r="T339" s="4" t="str">
        <f t="shared" ref="T339:T402" si="311">IMSUM(COMPLEX(1,0),IMDIV(COMPLEX(0,2*PI()*O339),COMPLEX(wz_esr,0)))</f>
        <v>1+0.383149014891017i</v>
      </c>
      <c r="U339" s="4">
        <f t="shared" si="272"/>
        <v>1.0708889613829984</v>
      </c>
      <c r="V339" s="4">
        <f t="shared" si="273"/>
        <v>0.36589580205093031</v>
      </c>
      <c r="W339" t="str">
        <f t="shared" ref="W339:W402" si="312">IMSUB(COMPLEX(1,0),IMDIV(COMPLEX(0,2*PI()*O339),COMPLEX(wz_rhp,0)))</f>
        <v>1-0.222909167572899i</v>
      </c>
      <c r="X339" s="4">
        <f t="shared" si="274"/>
        <v>1.0245430674149538</v>
      </c>
      <c r="Y339" s="4">
        <f t="shared" si="275"/>
        <v>-0.21932346907710623</v>
      </c>
      <c r="Z339" t="str">
        <f t="shared" ref="Z339:Z402" si="313">IMSUM(COMPLEX(1,0),IMDIV(COMPLEX(0,2*PI()*O339),COMPLEX(Q*(wsl/2),0)),IMDIV(IMPOWER(COMPLEX(0,2*PI()*O339),2),IMPOWER(COMPLEX(wsl/2,0),2)))</f>
        <v>0.99973697320081+0.149212667273287i</v>
      </c>
      <c r="AA339" s="4">
        <f t="shared" si="276"/>
        <v>1.0108107813332452</v>
      </c>
      <c r="AB339" s="4">
        <f t="shared" si="277"/>
        <v>0.14815825329006813</v>
      </c>
      <c r="AC339" s="47" t="str">
        <f t="shared" si="278"/>
        <v>0.0335781149423306-0.862009204380708i</v>
      </c>
      <c r="AD339" s="20">
        <f t="shared" si="279"/>
        <v>-1.2831771175761837</v>
      </c>
      <c r="AE339" s="43">
        <f t="shared" si="280"/>
        <v>-87.769267346629235</v>
      </c>
      <c r="AF339" t="str">
        <f t="shared" ref="AF339:AF402" si="314">COMPLEX($B$72,0)</f>
        <v>72.2956529813786</v>
      </c>
      <c r="AG339" t="str">
        <f t="shared" ref="AG339:AG402" si="315">IMSUM(COMPLEX(1,0),IMDIV(COMPLEX(0,2*PI()*O339),COMPLEX(wp_lf_DCM,0)))</f>
        <v>1+20.1153232817784i</v>
      </c>
      <c r="AH339">
        <f t="shared" si="281"/>
        <v>20.140164615277012</v>
      </c>
      <c r="AI339">
        <f t="shared" si="282"/>
        <v>1.5211238756051189</v>
      </c>
      <c r="AJ339" t="str">
        <f t="shared" ref="AJ339:AJ402" si="316">IMSUM(COMPLEX(1,0),IMDIV(COMPLEX(0,2*PI()*O339),COMPLEX(wz1_dcm,0)))</f>
        <v>1+0.383149014891017i</v>
      </c>
      <c r="AK339">
        <f t="shared" si="283"/>
        <v>1.0708889613829984</v>
      </c>
      <c r="AL339">
        <f t="shared" si="284"/>
        <v>0.36589580205093031</v>
      </c>
      <c r="AM339" t="str">
        <f t="shared" ref="AM339:AM402" si="317">IMSUB(COMPLEX(1,0),IMDIV(COMPLEX(0,2*PI()*O339),COMPLEX(wz2_dcm,0)))</f>
        <v>1-0.0493327710701026i</v>
      </c>
      <c r="AN339">
        <f t="shared" si="285"/>
        <v>1.0012161216747637</v>
      </c>
      <c r="AO339">
        <f t="shared" si="286"/>
        <v>-4.9292808653298437E-2</v>
      </c>
      <c r="AP339" s="41" t="str">
        <f t="shared" si="287"/>
        <v>1.37839849949117-3.59346810555905i</v>
      </c>
      <c r="AQ339">
        <f t="shared" si="288"/>
        <v>11.70642889409779</v>
      </c>
      <c r="AR339" s="43">
        <f t="shared" si="289"/>
        <v>-69.013962885863592</v>
      </c>
      <c r="AS339" t="str">
        <f t="shared" ref="AS339:AS402" si="318">COMPLEX(Adc_ea,0)</f>
        <v>-0.0000166666666666667</v>
      </c>
      <c r="AT339" t="str">
        <f t="shared" ref="AT339:AT402" si="319">COMPLEX(0,2*PI()*O339*wp0_ea)</f>
        <v>0.000346464534741878i</v>
      </c>
      <c r="AU339">
        <f t="shared" si="290"/>
        <v>3.46464534741878E-4</v>
      </c>
      <c r="AV339">
        <f t="shared" si="291"/>
        <v>1.5707963267948966</v>
      </c>
      <c r="AW339" t="str">
        <f t="shared" ref="AW339:AW402" si="320">IMSUM(COMPLEX(1,0),IMDIV(COMPLEX(0,2*PI()*O339),COMPLEX(wp1_ea,0)))</f>
        <v>1+0.346164824936738i</v>
      </c>
      <c r="AX339">
        <f t="shared" si="292"/>
        <v>1.0582202445726894</v>
      </c>
      <c r="AY339">
        <f t="shared" si="293"/>
        <v>0.33325410511701992</v>
      </c>
      <c r="AZ339" t="str">
        <f t="shared" ref="AZ339:AZ402" si="321">IMSUM(COMPLEX(1,0),IMDIV(COMPLEX(0,2*PI()*O339),COMPLEX(wz_ea,0)))</f>
        <v>1+11.7696040478491i</v>
      </c>
      <c r="BA339">
        <f t="shared" si="294"/>
        <v>11.812009966265094</v>
      </c>
      <c r="BB339">
        <f t="shared" si="295"/>
        <v>1.486035273146699</v>
      </c>
      <c r="BC339" s="41" t="str">
        <f t="shared" si="296"/>
        <v>-0.490721073055511+0.217975346127427i</v>
      </c>
      <c r="BD339">
        <f t="shared" si="297"/>
        <v>-5.4012459344887196</v>
      </c>
      <c r="BE339" s="43">
        <f t="shared" si="298"/>
        <v>156.04949563026199</v>
      </c>
      <c r="BF339" s="41" t="str">
        <f t="shared" si="299"/>
        <v>0.171419266094231+0.430325282984289i</v>
      </c>
      <c r="BG339" s="20">
        <f t="shared" si="300"/>
        <v>-6.6844230520649131</v>
      </c>
      <c r="BH339" s="43">
        <f t="shared" si="301"/>
        <v>68.280228283632738</v>
      </c>
      <c r="BI339" s="41" t="str">
        <f t="shared" si="306"/>
        <v>0.10687826333869+2.06384741477881i</v>
      </c>
      <c r="BJ339" s="20">
        <f t="shared" si="302"/>
        <v>6.3051829596090911</v>
      </c>
      <c r="BK339" s="43">
        <f t="shared" si="307"/>
        <v>87.035532744398424</v>
      </c>
      <c r="BL339">
        <f t="shared" si="303"/>
        <v>-6.6844230520649131</v>
      </c>
      <c r="BM339" s="43">
        <f t="shared" si="304"/>
        <v>68.280228283632738</v>
      </c>
    </row>
    <row r="340" spans="14:65" x14ac:dyDescent="0.25">
      <c r="N340" s="9">
        <v>22</v>
      </c>
      <c r="O340" s="34">
        <f t="shared" si="308"/>
        <v>16595.869074375616</v>
      </c>
      <c r="P340" s="33" t="str">
        <f t="shared" si="309"/>
        <v>19.6196196196196</v>
      </c>
      <c r="Q340" s="4" t="str">
        <f t="shared" si="310"/>
        <v>1+25.2404804362759i</v>
      </c>
      <c r="R340" s="4">
        <f t="shared" ref="R340:R403" si="322">IMABS(Q340)</f>
        <v>25.260282117467064</v>
      </c>
      <c r="S340" s="4">
        <f t="shared" ref="S340:S403" si="323">IMARGUMENT(Q340)</f>
        <v>1.5311981394414214</v>
      </c>
      <c r="T340" s="4" t="str">
        <f t="shared" si="311"/>
        <v>1+0.392073701937253i</v>
      </c>
      <c r="U340" s="4">
        <f t="shared" ref="U340:U403" si="324">IMABS(T340)</f>
        <v>1.0741144202322124</v>
      </c>
      <c r="V340" s="4">
        <f t="shared" ref="V340:V403" si="325">IMARGUMENT(T340)</f>
        <v>0.37365474153342648</v>
      </c>
      <c r="W340" t="str">
        <f t="shared" si="312"/>
        <v>1-0.228101389092485i</v>
      </c>
      <c r="X340" s="4">
        <f t="shared" ref="X340:X403" si="326">IMABS(W340)</f>
        <v>1.0256852556734553</v>
      </c>
      <c r="Y340" s="4">
        <f t="shared" ref="Y340:Y403" si="327">IMARGUMENT(W340)</f>
        <v>-0.22426442123057197</v>
      </c>
      <c r="Z340" t="str">
        <f t="shared" si="313"/>
        <v>0.999724577129666+0.152688276780275i</v>
      </c>
      <c r="AA340" s="4">
        <f t="shared" ref="AA340:AA403" si="328">IMABS(Z340)</f>
        <v>1.0113174279044239</v>
      </c>
      <c r="AB340" s="4">
        <f t="shared" ref="AB340:AB403" si="329">IMARGUMENT(Z340)</f>
        <v>0.15155913348404537</v>
      </c>
      <c r="AC340" s="47" t="str">
        <f t="shared" ref="AC340:AC403" si="330">(IMDIV(IMPRODUCT(P340,T340,W340),IMPRODUCT(Q340,Z340)))</f>
        <v>0.031662172518996-0.845522695633554i</v>
      </c>
      <c r="AD340" s="20">
        <f t="shared" ref="AD340:AD403" si="331">20*LOG(IMABS(AC340))</f>
        <v>-1.4514089057038884</v>
      </c>
      <c r="AE340" s="43">
        <f t="shared" ref="AE340:AE403" si="332">(180/PI())*IMARGUMENT(AC340)</f>
        <v>-87.855454830112151</v>
      </c>
      <c r="AF340" t="str">
        <f t="shared" si="314"/>
        <v>72.2956529813786</v>
      </c>
      <c r="AG340" t="str">
        <f t="shared" si="315"/>
        <v>1+20.5838693517058i</v>
      </c>
      <c r="AH340">
        <f t="shared" ref="AH340:AH403" si="333">IMABS(AG340)</f>
        <v>20.608145901271502</v>
      </c>
      <c r="AI340">
        <f t="shared" ref="AI340:AI403" si="334">IMARGUMENT(AG340)</f>
        <v>1.5222527625623057</v>
      </c>
      <c r="AJ340" t="str">
        <f t="shared" si="316"/>
        <v>1+0.392073701937253i</v>
      </c>
      <c r="AK340">
        <f t="shared" ref="AK340:AK403" si="335">IMABS(AJ340)</f>
        <v>1.0741144202322124</v>
      </c>
      <c r="AL340">
        <f t="shared" ref="AL340:AL403" si="336">IMARGUMENT(AJ340)</f>
        <v>0.37365474153342648</v>
      </c>
      <c r="AM340" t="str">
        <f t="shared" si="317"/>
        <v>1-0.0504818789258269i</v>
      </c>
      <c r="AN340">
        <f t="shared" ref="AN340:AN403" si="337">IMABS(AM340)</f>
        <v>1.0012733992770815</v>
      </c>
      <c r="AO340">
        <f t="shared" ref="AO340:AO403" si="338">IMARGUMENT(AM340)</f>
        <v>-5.0439061365417759E-2</v>
      </c>
      <c r="AP340" s="41" t="str">
        <f t="shared" ref="AP340:AP403" si="339">(IMDIV(IMPRODUCT(AF340,AJ340,AM340),IMPRODUCT(AG340)))</f>
        <v>1.37052880028619-3.51518187013038i</v>
      </c>
      <c r="AQ340">
        <f t="shared" ref="AQ340:AQ403" si="340">20*LOG(IMABS(AP340))</f>
        <v>11.533529797078874</v>
      </c>
      <c r="AR340" s="43">
        <f t="shared" ref="AR340:AR403" si="341">(180/PI())*IMARGUMENT(AP340)</f>
        <v>-68.699764300873085</v>
      </c>
      <c r="AS340" t="str">
        <f t="shared" si="318"/>
        <v>-0.0000166666666666667</v>
      </c>
      <c r="AT340" t="str">
        <f t="shared" si="319"/>
        <v>0.000354534730475176i</v>
      </c>
      <c r="AU340">
        <f t="shared" ref="AU340:AU403" si="342">IMABS(AT340)</f>
        <v>3.54534730475176E-4</v>
      </c>
      <c r="AV340">
        <f t="shared" ref="AV340:AV403" si="343">IMARGUMENT(AT340)</f>
        <v>1.5707963267948966</v>
      </c>
      <c r="AW340" t="str">
        <f t="shared" si="320"/>
        <v>1+0.354228039531859i</v>
      </c>
      <c r="AX340">
        <f t="shared" ref="AX340:AX403" si="344">IMABS(AW340)</f>
        <v>1.0608852454391966</v>
      </c>
      <c r="AY340">
        <f t="shared" ref="AY340:AY403" si="345">IMARGUMENT(AW340)</f>
        <v>0.34043647020777973</v>
      </c>
      <c r="AZ340" t="str">
        <f t="shared" si="321"/>
        <v>1+12.0437533440832i</v>
      </c>
      <c r="BA340">
        <f t="shared" ref="BA340:BA403" si="346">IMABS(AZ340)</f>
        <v>12.085197334471426</v>
      </c>
      <c r="BB340">
        <f t="shared" ref="BB340:BB403" si="347">IMARGUMENT(AZ340)</f>
        <v>1.4879557534235466</v>
      </c>
      <c r="BC340" s="41" t="str">
        <f t="shared" ref="BC340:BC403" si="348">IMPRODUCT(AS340,IMDIV(AZ340,IMPRODUCT(AT340,AW340)))</f>
        <v>-0.488258734186024+0.219964903131857i</v>
      </c>
      <c r="BD340">
        <f t="shared" ref="BD340:BD403" si="349">20*LOG(IMABS(BC340))</f>
        <v>-5.4244939787330972</v>
      </c>
      <c r="BE340" s="43">
        <f t="shared" ref="BE340:BE403" si="350">(180/PI())*IMARGUMENT(BC340)</f>
        <v>155.74801183814074</v>
      </c>
      <c r="BF340" s="41" t="str">
        <f t="shared" ref="BF340:BF403" si="351">IMPRODUCT(AC340,BC340)</f>
        <v>0.170525985565117+0.419798407806679i</v>
      </c>
      <c r="BG340" s="20">
        <f t="shared" ref="BG340:BG403" si="352">20*LOG(IMABS(BF340))</f>
        <v>-6.8759028844369849</v>
      </c>
      <c r="BH340" s="43">
        <f t="shared" ref="BH340:BH403" si="353">(180/PI())*IMARGUMENT(BF340)</f>
        <v>67.892557008028575</v>
      </c>
      <c r="BI340" s="41" t="str">
        <f t="shared" si="306"/>
        <v>0.104043982360864+2.01778648513789i</v>
      </c>
      <c r="BJ340" s="20">
        <f t="shared" ref="BJ340:BJ403" si="354">20*LOG(IMABS(BI340))</f>
        <v>6.1090358183457667</v>
      </c>
      <c r="BK340" s="43">
        <f t="shared" si="307"/>
        <v>87.048247537267656</v>
      </c>
      <c r="BL340">
        <f t="shared" ref="BL340:BL403" si="355">IF($B$31=0,BJ340,BG340)</f>
        <v>-6.8759028844369849</v>
      </c>
      <c r="BM340" s="43">
        <f t="shared" ref="BM340:BM403" si="356">IF($B$31=0,BK340,BH340)</f>
        <v>67.892557008028575</v>
      </c>
    </row>
    <row r="341" spans="14:65" x14ac:dyDescent="0.25">
      <c r="N341" s="9">
        <v>23</v>
      </c>
      <c r="O341" s="34">
        <f t="shared" si="308"/>
        <v>16982.436524617482</v>
      </c>
      <c r="P341" s="33" t="str">
        <f t="shared" si="309"/>
        <v>19.6196196196196</v>
      </c>
      <c r="Q341" s="4" t="str">
        <f t="shared" si="310"/>
        <v>1+25.8284067522408i</v>
      </c>
      <c r="R341" s="4">
        <f t="shared" si="322"/>
        <v>25.84775803351614</v>
      </c>
      <c r="S341" s="4">
        <f t="shared" si="323"/>
        <v>1.5320985941688501</v>
      </c>
      <c r="T341" s="4" t="str">
        <f t="shared" si="311"/>
        <v>1+0.401206271649967i</v>
      </c>
      <c r="U341" s="4">
        <f t="shared" si="324"/>
        <v>1.077481541564062</v>
      </c>
      <c r="V341" s="4">
        <f t="shared" si="325"/>
        <v>0.38154583372331635</v>
      </c>
      <c r="W341" t="str">
        <f t="shared" si="312"/>
        <v>1-0.233414552987847i</v>
      </c>
      <c r="X341" s="4">
        <f t="shared" si="326"/>
        <v>1.0268799119402992</v>
      </c>
      <c r="Y341" s="4">
        <f t="shared" si="327"/>
        <v>-0.2293089579083713</v>
      </c>
      <c r="Z341" t="str">
        <f t="shared" si="313"/>
        <v>0.999711596849687+0.156244843632681i</v>
      </c>
      <c r="AA341" s="4">
        <f t="shared" si="328"/>
        <v>1.0118476802550629</v>
      </c>
      <c r="AB341" s="4">
        <f t="shared" si="329"/>
        <v>0.15503570848622517</v>
      </c>
      <c r="AC341" s="47" t="str">
        <f t="shared" si="330"/>
        <v>0.0297899596983792-0.829472812665633i</v>
      </c>
      <c r="AD341" s="20">
        <f t="shared" si="331"/>
        <v>-1.618358792173777</v>
      </c>
      <c r="AE341" s="43">
        <f t="shared" si="332"/>
        <v>-87.943144543429511</v>
      </c>
      <c r="AF341" t="str">
        <f t="shared" si="314"/>
        <v>72.2956529813786</v>
      </c>
      <c r="AG341" t="str">
        <f t="shared" si="315"/>
        <v>1+21.0633292616233i</v>
      </c>
      <c r="AH341">
        <f t="shared" si="333"/>
        <v>21.087053838399434</v>
      </c>
      <c r="AI341">
        <f t="shared" si="334"/>
        <v>1.5233560725770947</v>
      </c>
      <c r="AJ341" t="str">
        <f t="shared" si="316"/>
        <v>1+0.401206271649967i</v>
      </c>
      <c r="AK341">
        <f t="shared" si="335"/>
        <v>1.077481541564062</v>
      </c>
      <c r="AL341">
        <f t="shared" si="336"/>
        <v>0.38154583372331635</v>
      </c>
      <c r="AM341" t="str">
        <f t="shared" si="317"/>
        <v>1-0.0516577529419645i</v>
      </c>
      <c r="AN341">
        <f t="shared" si="337"/>
        <v>1.001333372778024</v>
      </c>
      <c r="AO341">
        <f t="shared" si="338"/>
        <v>-5.1611876398328635E-2</v>
      </c>
      <c r="AP341" s="41" t="str">
        <f t="shared" si="339"/>
        <v>1.36301166526096-3.43872508415635i</v>
      </c>
      <c r="AQ341">
        <f t="shared" si="340"/>
        <v>11.361696149772216</v>
      </c>
      <c r="AR341" s="43">
        <f t="shared" si="341"/>
        <v>-68.378050381521007</v>
      </c>
      <c r="AS341" t="str">
        <f t="shared" si="318"/>
        <v>-0.0000166666666666667</v>
      </c>
      <c r="AT341" t="str">
        <f t="shared" si="319"/>
        <v>0.000362792905215394i</v>
      </c>
      <c r="AU341">
        <f t="shared" si="342"/>
        <v>3.6279290521539398E-4</v>
      </c>
      <c r="AV341">
        <f t="shared" si="343"/>
        <v>1.5707963267948966</v>
      </c>
      <c r="AW341" t="str">
        <f t="shared" si="320"/>
        <v>1+0.362479070522303i</v>
      </c>
      <c r="AX341">
        <f t="shared" si="344"/>
        <v>1.0636686874053936</v>
      </c>
      <c r="AY341">
        <f t="shared" si="345"/>
        <v>0.34774848909227579</v>
      </c>
      <c r="AZ341" t="str">
        <f t="shared" si="321"/>
        <v>1+12.3242883977583i</v>
      </c>
      <c r="BA341">
        <f t="shared" si="346"/>
        <v>12.364792133761078</v>
      </c>
      <c r="BB341">
        <f t="shared" si="347"/>
        <v>1.4898331102425479</v>
      </c>
      <c r="BC341" s="41" t="str">
        <f t="shared" si="348"/>
        <v>-0.485706695796878+0.221998403039962i</v>
      </c>
      <c r="BD341">
        <f t="shared" si="349"/>
        <v>-5.4485918109946363</v>
      </c>
      <c r="BE341" s="43">
        <f t="shared" si="350"/>
        <v>155.4366286387081</v>
      </c>
      <c r="BF341" s="41" t="str">
        <f t="shared" si="351"/>
        <v>0.169672456883814+0.409493822572832i</v>
      </c>
      <c r="BG341" s="20">
        <f t="shared" si="352"/>
        <v>-7.0669506031684213</v>
      </c>
      <c r="BH341" s="43">
        <f t="shared" si="353"/>
        <v>67.493484095278575</v>
      </c>
      <c r="BI341" s="41" t="str">
        <f t="shared" si="306"/>
        <v>0.101367584909667+1.97279821139219i</v>
      </c>
      <c r="BJ341" s="20">
        <f t="shared" si="354"/>
        <v>5.9131043387775613</v>
      </c>
      <c r="BK341" s="43">
        <f t="shared" si="307"/>
        <v>87.058578257187094</v>
      </c>
      <c r="BL341">
        <f t="shared" si="355"/>
        <v>-7.0669506031684213</v>
      </c>
      <c r="BM341" s="43">
        <f t="shared" si="356"/>
        <v>67.493484095278575</v>
      </c>
    </row>
    <row r="342" spans="14:65" x14ac:dyDescent="0.25">
      <c r="N342" s="9">
        <v>24</v>
      </c>
      <c r="O342" s="34">
        <f t="shared" si="308"/>
        <v>17378.008287493791</v>
      </c>
      <c r="P342" s="33" t="str">
        <f t="shared" si="309"/>
        <v>19.6196196196196</v>
      </c>
      <c r="Q342" s="4" t="str">
        <f t="shared" si="310"/>
        <v>1+26.4300276313447i</v>
      </c>
      <c r="R342" s="4">
        <f t="shared" si="322"/>
        <v>26.448938742294448</v>
      </c>
      <c r="S342" s="4">
        <f t="shared" si="323"/>
        <v>1.5329786127167082</v>
      </c>
      <c r="T342" s="4" t="str">
        <f t="shared" si="311"/>
        <v>1+0.410551566238497i</v>
      </c>
      <c r="U342" s="4">
        <f t="shared" si="324"/>
        <v>1.0809961094013627</v>
      </c>
      <c r="V342" s="4">
        <f t="shared" si="325"/>
        <v>0.38956933056381204</v>
      </c>
      <c r="W342" t="str">
        <f t="shared" si="312"/>
        <v>1-0.238851476368807i</v>
      </c>
      <c r="X342" s="4">
        <f t="shared" si="326"/>
        <v>1.0281293827936049</v>
      </c>
      <c r="Y342" s="4">
        <f t="shared" si="327"/>
        <v>-0.23445872637066495</v>
      </c>
      <c r="Z342" t="str">
        <f t="shared" si="313"/>
        <v>0.99969800482796+0.159884253569324i</v>
      </c>
      <c r="AA342" s="4">
        <f t="shared" si="328"/>
        <v>1.012402625142993</v>
      </c>
      <c r="AB342" s="4">
        <f t="shared" si="329"/>
        <v>0.15858949748125259</v>
      </c>
      <c r="AC342" s="47" t="str">
        <f t="shared" si="330"/>
        <v>0.0279576713579824-0.813850943198495i</v>
      </c>
      <c r="AD342" s="20">
        <f t="shared" si="331"/>
        <v>-1.7839805671108215</v>
      </c>
      <c r="AE342" s="43">
        <f t="shared" si="332"/>
        <v>-88.032530495272184</v>
      </c>
      <c r="AF342" t="str">
        <f t="shared" si="314"/>
        <v>72.2956529813786</v>
      </c>
      <c r="AG342" t="str">
        <f t="shared" si="315"/>
        <v>1+21.5539572275211i</v>
      </c>
      <c r="AH342">
        <f t="shared" si="333"/>
        <v>21.577142354023831</v>
      </c>
      <c r="AI342">
        <f t="shared" si="334"/>
        <v>1.5244343798885396</v>
      </c>
      <c r="AJ342" t="str">
        <f t="shared" si="316"/>
        <v>1+0.410551566238497i</v>
      </c>
      <c r="AK342">
        <f t="shared" si="335"/>
        <v>1.0809961094013627</v>
      </c>
      <c r="AL342">
        <f t="shared" si="336"/>
        <v>0.38956933056381204</v>
      </c>
      <c r="AM342" t="str">
        <f t="shared" si="317"/>
        <v>1-0.0528610165824825i</v>
      </c>
      <c r="AN342">
        <f t="shared" si="337"/>
        <v>1.0013961688932775</v>
      </c>
      <c r="AO342">
        <f t="shared" si="338"/>
        <v>-5.2811862681148632E-2</v>
      </c>
      <c r="AP342" s="41" t="str">
        <f t="shared" si="339"/>
        <v>1.35583136941805-3.3640594915182i</v>
      </c>
      <c r="AQ342">
        <f t="shared" si="340"/>
        <v>11.190966286079302</v>
      </c>
      <c r="AR342" s="43">
        <f t="shared" si="341"/>
        <v>-68.048874483067166</v>
      </c>
      <c r="AS342" t="str">
        <f t="shared" si="318"/>
        <v>-0.0000166666666666667</v>
      </c>
      <c r="AT342" t="str">
        <f t="shared" si="319"/>
        <v>0.000371243437556089i</v>
      </c>
      <c r="AU342">
        <f t="shared" si="342"/>
        <v>3.7124343755608901E-4</v>
      </c>
      <c r="AV342">
        <f t="shared" si="343"/>
        <v>1.5707963267948966</v>
      </c>
      <c r="AW342" t="str">
        <f t="shared" si="320"/>
        <v>1+0.370922292713912i</v>
      </c>
      <c r="AX342">
        <f t="shared" si="344"/>
        <v>1.0665755234544552</v>
      </c>
      <c r="AY342">
        <f t="shared" si="345"/>
        <v>0.35519091020654181</v>
      </c>
      <c r="AZ342" t="str">
        <f t="shared" si="321"/>
        <v>1+12.611357952273i</v>
      </c>
      <c r="BA342">
        <f t="shared" si="346"/>
        <v>12.650942628925302</v>
      </c>
      <c r="BB342">
        <f t="shared" si="347"/>
        <v>1.4916682860401782</v>
      </c>
      <c r="BC342" s="41" t="str">
        <f t="shared" si="348"/>
        <v>-0.483062821542118+0.224072941095029i</v>
      </c>
      <c r="BD342">
        <f t="shared" si="349"/>
        <v>-5.4735752499123267</v>
      </c>
      <c r="BE342" s="43">
        <f t="shared" si="350"/>
        <v>155.1153571473703</v>
      </c>
      <c r="BF342" s="41" t="str">
        <f t="shared" si="351"/>
        <v>0.168856662845516+0.39940569058353i</v>
      </c>
      <c r="BG342" s="20">
        <f t="shared" si="352"/>
        <v>-7.2575558170231567</v>
      </c>
      <c r="BH342" s="43">
        <f t="shared" si="353"/>
        <v>67.082826652098092</v>
      </c>
      <c r="BI342" s="41" t="str">
        <f t="shared" si="306"/>
        <v>0.098842977436734+1.92885719238273i</v>
      </c>
      <c r="BJ342" s="20">
        <f t="shared" si="354"/>
        <v>5.7173910361669833</v>
      </c>
      <c r="BK342" s="43">
        <f t="shared" si="307"/>
        <v>87.066482664303138</v>
      </c>
      <c r="BL342">
        <f t="shared" si="355"/>
        <v>-7.2575558170231567</v>
      </c>
      <c r="BM342" s="43">
        <f t="shared" si="356"/>
        <v>67.082826652098092</v>
      </c>
    </row>
    <row r="343" spans="14:65" x14ac:dyDescent="0.25">
      <c r="N343" s="9">
        <v>25</v>
      </c>
      <c r="O343" s="34">
        <f t="shared" si="308"/>
        <v>17782.794100389234</v>
      </c>
      <c r="P343" s="33" t="str">
        <f t="shared" si="309"/>
        <v>19.6196196196196</v>
      </c>
      <c r="Q343" s="4" t="str">
        <f t="shared" si="310"/>
        <v>1+27.0456620609416i</v>
      </c>
      <c r="R343" s="4">
        <f t="shared" si="322"/>
        <v>27.064142999819072</v>
      </c>
      <c r="S343" s="4">
        <f t="shared" si="323"/>
        <v>1.5338386562272475</v>
      </c>
      <c r="T343" s="4" t="str">
        <f t="shared" si="311"/>
        <v>1+0.42011454070174i</v>
      </c>
      <c r="U343" s="4">
        <f t="shared" si="324"/>
        <v>1.0846641080578974</v>
      </c>
      <c r="V343" s="4">
        <f t="shared" si="325"/>
        <v>0.39772535297877776</v>
      </c>
      <c r="W343" t="str">
        <f t="shared" si="312"/>
        <v>1-0.244415041964111i</v>
      </c>
      <c r="X343" s="4">
        <f t="shared" si="326"/>
        <v>1.0294361139664365</v>
      </c>
      <c r="Y343" s="4">
        <f t="shared" si="327"/>
        <v>-0.23971536403053831</v>
      </c>
      <c r="Z343" t="str">
        <f t="shared" si="313"/>
        <v>0.999683772233983+0.163608436253527i</v>
      </c>
      <c r="AA343" s="4">
        <f t="shared" si="328"/>
        <v>1.0129833981271807</v>
      </c>
      <c r="AB343" s="4">
        <f t="shared" si="329"/>
        <v>0.16222203852763922</v>
      </c>
      <c r="AC343" s="47" t="str">
        <f t="shared" si="330"/>
        <v>0.0261615974749008-0.798648649868174i</v>
      </c>
      <c r="AD343" s="20">
        <f t="shared" si="331"/>
        <v>-1.9482270970886972</v>
      </c>
      <c r="AE343" s="43">
        <f t="shared" si="332"/>
        <v>-88.1238141198383</v>
      </c>
      <c r="AF343" t="str">
        <f t="shared" si="314"/>
        <v>72.2956529813786</v>
      </c>
      <c r="AG343" t="str">
        <f t="shared" si="315"/>
        <v>1+22.0560133868414i</v>
      </c>
      <c r="AH343">
        <f t="shared" si="333"/>
        <v>22.078671303330896</v>
      </c>
      <c r="AI343">
        <f t="shared" si="334"/>
        <v>1.525488246193361</v>
      </c>
      <c r="AJ343" t="str">
        <f t="shared" si="316"/>
        <v>1+0.42011454070174i</v>
      </c>
      <c r="AK343">
        <f t="shared" si="335"/>
        <v>1.0846641080578974</v>
      </c>
      <c r="AL343">
        <f t="shared" si="336"/>
        <v>0.39772535297877776</v>
      </c>
      <c r="AM343" t="str">
        <f t="shared" si="317"/>
        <v>1-0.0540923078336908i</v>
      </c>
      <c r="AN343">
        <f t="shared" si="337"/>
        <v>1.0014619202779378</v>
      </c>
      <c r="AO343">
        <f t="shared" si="338"/>
        <v>-5.4039642631121231E-2</v>
      </c>
      <c r="AP343" s="41" t="str">
        <f t="shared" si="339"/>
        <v>1.34897288297952-3.29114763458447i</v>
      </c>
      <c r="AQ343">
        <f t="shared" si="340"/>
        <v>11.021379208175293</v>
      </c>
      <c r="AR343" s="43">
        <f t="shared" si="341"/>
        <v>-67.712297521817007</v>
      </c>
      <c r="AS343" t="str">
        <f t="shared" si="318"/>
        <v>-0.0000166666666666667</v>
      </c>
      <c r="AT343" t="str">
        <f t="shared" si="319"/>
        <v>0.000379890808081363i</v>
      </c>
      <c r="AU343">
        <f t="shared" si="342"/>
        <v>3.7989080808136302E-4</v>
      </c>
      <c r="AV343">
        <f t="shared" si="343"/>
        <v>1.5707963267948966</v>
      </c>
      <c r="AW343" t="str">
        <f t="shared" si="320"/>
        <v>1+0.379562182814855i</v>
      </c>
      <c r="AX343">
        <f t="shared" si="344"/>
        <v>1.0696108874834704</v>
      </c>
      <c r="AY343">
        <f t="shared" si="345"/>
        <v>0.36276438077630851</v>
      </c>
      <c r="AZ343" t="str">
        <f t="shared" si="321"/>
        <v>1+12.9051142157051i</v>
      </c>
      <c r="BA343">
        <f t="shared" si="346"/>
        <v>12.943800559356353</v>
      </c>
      <c r="BB343">
        <f t="shared" si="347"/>
        <v>1.4934622043782941</v>
      </c>
      <c r="BC343" s="41" t="str">
        <f t="shared" si="348"/>
        <v>-0.480325020307116+0.22618546885899i</v>
      </c>
      <c r="BD343">
        <f t="shared" si="349"/>
        <v>-5.4994807616965886</v>
      </c>
      <c r="BE343" s="43">
        <f t="shared" si="350"/>
        <v>154.78421319702156</v>
      </c>
      <c r="BF343" s="41" t="str">
        <f t="shared" si="351"/>
        <v>0.168076649485634+0.389528302157142i</v>
      </c>
      <c r="BG343" s="20">
        <f t="shared" si="352"/>
        <v>-7.447707858785285</v>
      </c>
      <c r="BH343" s="43">
        <f t="shared" si="353"/>
        <v>66.660399077183257</v>
      </c>
      <c r="BI343" s="41" t="str">
        <f t="shared" si="306"/>
        <v>0.0964643434017574+1.88593861843029i</v>
      </c>
      <c r="BJ343" s="20">
        <f t="shared" si="354"/>
        <v>5.521898446478712</v>
      </c>
      <c r="BK343" s="43">
        <f t="shared" si="307"/>
        <v>87.071915675204565</v>
      </c>
      <c r="BL343">
        <f t="shared" si="355"/>
        <v>-7.447707858785285</v>
      </c>
      <c r="BM343" s="43">
        <f t="shared" si="356"/>
        <v>66.660399077183257</v>
      </c>
    </row>
    <row r="344" spans="14:65" x14ac:dyDescent="0.25">
      <c r="N344" s="9">
        <v>26</v>
      </c>
      <c r="O344" s="34">
        <f t="shared" si="308"/>
        <v>18197.008586099837</v>
      </c>
      <c r="P344" s="33" t="str">
        <f t="shared" si="309"/>
        <v>19.6196196196196</v>
      </c>
      <c r="Q344" s="4" t="str">
        <f t="shared" si="310"/>
        <v>1+27.6756364585551i</v>
      </c>
      <c r="R344" s="4">
        <f t="shared" si="322"/>
        <v>27.693696997441574</v>
      </c>
      <c r="S344" s="4">
        <f t="shared" si="323"/>
        <v>1.5346791756147955</v>
      </c>
      <c r="T344" s="4" t="str">
        <f t="shared" si="311"/>
        <v>1+0.429900265455339i</v>
      </c>
      <c r="U344" s="4">
        <f t="shared" si="324"/>
        <v>1.0884917263068981</v>
      </c>
      <c r="V344" s="4">
        <f t="shared" si="325"/>
        <v>0.40601388399546767</v>
      </c>
      <c r="W344" t="str">
        <f t="shared" si="312"/>
        <v>1-0.250108199649882i</v>
      </c>
      <c r="X344" s="4">
        <f t="shared" si="326"/>
        <v>1.0308026540187532</v>
      </c>
      <c r="Y344" s="4">
        <f t="shared" si="327"/>
        <v>-0.24508049549858299</v>
      </c>
      <c r="Z344" t="str">
        <f t="shared" si="313"/>
        <v>0.999668868878517+0.167419366296247i</v>
      </c>
      <c r="AA344" s="4">
        <f t="shared" si="328"/>
        <v>1.013591185644336</v>
      </c>
      <c r="AB344" s="4">
        <f t="shared" si="329"/>
        <v>0.16593488792583647</v>
      </c>
      <c r="AC344" s="47" t="str">
        <f t="shared" si="330"/>
        <v>0.0243981166029152-0.783857665463199i</v>
      </c>
      <c r="AD344" s="20">
        <f t="shared" si="331"/>
        <v>-2.1110503579671476</v>
      </c>
      <c r="AE344" s="43">
        <f t="shared" si="332"/>
        <v>-88.217204477860292</v>
      </c>
      <c r="AF344" t="str">
        <f t="shared" si="314"/>
        <v>72.2956529813786</v>
      </c>
      <c r="AG344" t="str">
        <f t="shared" si="315"/>
        <v>1+22.5697639364053i</v>
      </c>
      <c r="AH344">
        <f t="shared" si="333"/>
        <v>22.591906607125065</v>
      </c>
      <c r="AI344">
        <f t="shared" si="334"/>
        <v>1.5265182208964159</v>
      </c>
      <c r="AJ344" t="str">
        <f t="shared" si="316"/>
        <v>1+0.429900265455339i</v>
      </c>
      <c r="AK344">
        <f t="shared" si="335"/>
        <v>1.0884917263068981</v>
      </c>
      <c r="AL344">
        <f t="shared" si="336"/>
        <v>0.40601388399546767</v>
      </c>
      <c r="AM344" t="str">
        <f t="shared" si="317"/>
        <v>1-0.0553522795425092i</v>
      </c>
      <c r="AN344">
        <f t="shared" si="337"/>
        <v>1.0015307658033037</v>
      </c>
      <c r="AO344">
        <f t="shared" si="338"/>
        <v>-5.5295852418560915E-2</v>
      </c>
      <c r="AP344" s="41" t="str">
        <f t="shared" si="339"/>
        <v>1.34242184119089-3.21995284432483i</v>
      </c>
      <c r="AQ344">
        <f t="shared" si="340"/>
        <v>10.852974554939456</v>
      </c>
      <c r="AR344" s="43">
        <f t="shared" si="341"/>
        <v>-67.368388398691138</v>
      </c>
      <c r="AS344" t="str">
        <f t="shared" si="318"/>
        <v>-0.0000166666666666667</v>
      </c>
      <c r="AT344" t="str">
        <f t="shared" si="319"/>
        <v>0.000388739601741531i</v>
      </c>
      <c r="AU344">
        <f t="shared" si="342"/>
        <v>3.8873960174153099E-4</v>
      </c>
      <c r="AV344">
        <f t="shared" si="343"/>
        <v>1.5707963267948966</v>
      </c>
      <c r="AW344" t="str">
        <f t="shared" si="320"/>
        <v>1+0.388403321809228i</v>
      </c>
      <c r="AX344">
        <f t="shared" si="344"/>
        <v>1.0727800988051759</v>
      </c>
      <c r="AY344">
        <f t="shared" si="345"/>
        <v>0.37046944019660671</v>
      </c>
      <c r="AZ344" t="str">
        <f t="shared" si="321"/>
        <v>1+13.2057129415137i</v>
      </c>
      <c r="BA344">
        <f t="shared" si="346"/>
        <v>13.243521219587425</v>
      </c>
      <c r="BB344">
        <f t="shared" si="347"/>
        <v>1.4952157702056679</v>
      </c>
      <c r="BC344" s="41" t="str">
        <f t="shared" si="348"/>
        <v>-0.477491256009323+0.228332791197059i</v>
      </c>
      <c r="BD344">
        <f t="shared" si="349"/>
        <v>-5.5263454471134219</v>
      </c>
      <c r="BE344" s="43">
        <f t="shared" si="350"/>
        <v>154.44321773234765</v>
      </c>
      <c r="BF344" s="41" t="str">
        <f t="shared" si="351"/>
        <v>0.167330521315435+0.379856071278454i</v>
      </c>
      <c r="BG344" s="20">
        <f t="shared" si="352"/>
        <v>-7.6373958050805593</v>
      </c>
      <c r="BH344" s="43">
        <f t="shared" si="353"/>
        <v>66.226013254487356</v>
      </c>
      <c r="BI344" s="41" t="str">
        <f t="shared" si="306"/>
        <v>0.0942261294230117+1.84401825389047i</v>
      </c>
      <c r="BJ344" s="20">
        <f t="shared" si="354"/>
        <v>5.3266291078260517</v>
      </c>
      <c r="BK344" s="43">
        <f t="shared" si="307"/>
        <v>87.07482933365651</v>
      </c>
      <c r="BL344">
        <f t="shared" si="355"/>
        <v>-7.6373958050805593</v>
      </c>
      <c r="BM344" s="43">
        <f t="shared" si="356"/>
        <v>66.226013254487356</v>
      </c>
    </row>
    <row r="345" spans="14:65" x14ac:dyDescent="0.25">
      <c r="N345" s="9">
        <v>27</v>
      </c>
      <c r="O345" s="34">
        <f t="shared" si="308"/>
        <v>18620.871366628675</v>
      </c>
      <c r="P345" s="33" t="str">
        <f t="shared" si="309"/>
        <v>19.6196196196196</v>
      </c>
      <c r="Q345" s="4" t="str">
        <f t="shared" si="310"/>
        <v>1+28.3202848449491i</v>
      </c>
      <c r="R345" s="4">
        <f t="shared" si="322"/>
        <v>28.337934534807818</v>
      </c>
      <c r="S345" s="4">
        <f t="shared" si="323"/>
        <v>1.5355006117807117</v>
      </c>
      <c r="T345" s="4" t="str">
        <f t="shared" si="311"/>
        <v>1+0.439913929020084i</v>
      </c>
      <c r="U345" s="4">
        <f t="shared" si="324"/>
        <v>1.0924853614332264</v>
      </c>
      <c r="V345" s="4">
        <f t="shared" si="325"/>
        <v>0.41443476189145212</v>
      </c>
      <c r="W345" t="str">
        <f t="shared" si="312"/>
        <v>1-0.255933968013679i</v>
      </c>
      <c r="X345" s="4">
        <f t="shared" si="326"/>
        <v>1.032231658099686</v>
      </c>
      <c r="Y345" s="4">
        <f t="shared" si="327"/>
        <v>-0.2505557294398511</v>
      </c>
      <c r="Z345" t="str">
        <f t="shared" si="313"/>
        <v>0.999653263149547+0.171319064303034i</v>
      </c>
      <c r="AA345" s="4">
        <f t="shared" si="328"/>
        <v>1.0142272271632251</v>
      </c>
      <c r="AB345" s="4">
        <f t="shared" si="329"/>
        <v>0.16972961950748774</v>
      </c>
      <c r="AC345" s="47" t="str">
        <f t="shared" si="330"/>
        <v>0.0226636896164083-0.769469888058251i</v>
      </c>
      <c r="AD345" s="20">
        <f t="shared" si="331"/>
        <v>-2.2724014730686655</v>
      </c>
      <c r="AE345" s="43">
        <f t="shared" si="332"/>
        <v>-88.312918440766822</v>
      </c>
      <c r="AF345" t="str">
        <f t="shared" si="314"/>
        <v>72.2956529813786</v>
      </c>
      <c r="AG345" t="str">
        <f t="shared" si="315"/>
        <v>1+23.0954812735544i</v>
      </c>
      <c r="AH345">
        <f t="shared" si="333"/>
        <v>23.117120392840931</v>
      </c>
      <c r="AI345">
        <f t="shared" si="334"/>
        <v>1.527524841357778</v>
      </c>
      <c r="AJ345" t="str">
        <f t="shared" si="316"/>
        <v>1+0.439913929020084i</v>
      </c>
      <c r="AK345">
        <f t="shared" si="335"/>
        <v>1.0924853614332264</v>
      </c>
      <c r="AL345">
        <f t="shared" si="336"/>
        <v>0.41443476189145212</v>
      </c>
      <c r="AM345" t="str">
        <f t="shared" si="317"/>
        <v>1-0.0566415997626149i</v>
      </c>
      <c r="AN345">
        <f t="shared" si="337"/>
        <v>1.0016028508464161</v>
      </c>
      <c r="AO345">
        <f t="shared" si="338"/>
        <v>-5.6581142234512778E-2</v>
      </c>
      <c r="AP345" s="41" t="str">
        <f t="shared" si="339"/>
        <v>1.33616451538887-3.15043923018879i</v>
      </c>
      <c r="AQ345">
        <f t="shared" si="340"/>
        <v>10.685792565938696</v>
      </c>
      <c r="AR345" s="43">
        <f t="shared" si="341"/>
        <v>-67.017224421368809</v>
      </c>
      <c r="AS345" t="str">
        <f t="shared" si="318"/>
        <v>-0.0000166666666666667</v>
      </c>
      <c r="AT345" t="str">
        <f t="shared" si="319"/>
        <v>0.00039779451028412i</v>
      </c>
      <c r="AU345">
        <f t="shared" si="342"/>
        <v>3.9779451028412001E-4</v>
      </c>
      <c r="AV345">
        <f t="shared" si="343"/>
        <v>1.5707963267948966</v>
      </c>
      <c r="AW345" t="str">
        <f t="shared" si="320"/>
        <v>1+0.39745039738595i</v>
      </c>
      <c r="AX345">
        <f t="shared" si="344"/>
        <v>1.0760886665987379</v>
      </c>
      <c r="AY345">
        <f t="shared" si="345"/>
        <v>0.37830651330839843</v>
      </c>
      <c r="AZ345" t="str">
        <f t="shared" si="321"/>
        <v>1+13.5133135111223i</v>
      </c>
      <c r="BA345">
        <f t="shared" si="346"/>
        <v>13.550263541713147</v>
      </c>
      <c r="BB345">
        <f t="shared" si="347"/>
        <v>1.4969298701243716</v>
      </c>
      <c r="BC345" s="41" t="str">
        <f t="shared" si="348"/>
        <v>-0.474559557950898+0.230511563807477i</v>
      </c>
      <c r="BD345">
        <f t="shared" si="349"/>
        <v>-5.5542070245893695</v>
      </c>
      <c r="BE345" s="43">
        <f t="shared" si="350"/>
        <v>154.09239721031196</v>
      </c>
      <c r="BF345" s="41" t="str">
        <f t="shared" si="351"/>
        <v>0.166616436673173+0.370383532468576i</v>
      </c>
      <c r="BG345" s="20">
        <f t="shared" si="352"/>
        <v>-7.8266084976580341</v>
      </c>
      <c r="BH345" s="43">
        <f t="shared" si="353"/>
        <v>65.779478769545065</v>
      </c>
      <c r="BI345" s="41" t="str">
        <f t="shared" si="306"/>
        <v>0.092123031858624+1.80307242037591i</v>
      </c>
      <c r="BJ345" s="20">
        <f t="shared" si="354"/>
        <v>5.1315855413493372</v>
      </c>
      <c r="BK345" s="43">
        <f t="shared" si="307"/>
        <v>87.075172788943149</v>
      </c>
      <c r="BL345">
        <f t="shared" si="355"/>
        <v>-7.8266084976580341</v>
      </c>
      <c r="BM345" s="43">
        <f t="shared" si="356"/>
        <v>65.779478769545065</v>
      </c>
    </row>
    <row r="346" spans="14:65" x14ac:dyDescent="0.25">
      <c r="N346" s="9">
        <v>28</v>
      </c>
      <c r="O346" s="34">
        <f t="shared" si="308"/>
        <v>19054.607179632505</v>
      </c>
      <c r="P346" s="33" t="str">
        <f t="shared" si="309"/>
        <v>19.6196196196196</v>
      </c>
      <c r="Q346" s="4" t="str">
        <f t="shared" si="310"/>
        <v>1+28.9799490212315i</v>
      </c>
      <c r="R346" s="4">
        <f t="shared" si="322"/>
        <v>28.997197196852952</v>
      </c>
      <c r="S346" s="4">
        <f t="shared" si="323"/>
        <v>1.5363033958246313</v>
      </c>
      <c r="T346" s="4" t="str">
        <f t="shared" si="311"/>
        <v>1+0.450160840772948i</v>
      </c>
      <c r="U346" s="4">
        <f t="shared" si="324"/>
        <v>1.0966516231535917</v>
      </c>
      <c r="V346" s="4">
        <f t="shared" si="325"/>
        <v>0.42298767340244803</v>
      </c>
      <c r="W346" t="str">
        <f t="shared" si="312"/>
        <v>1-0.261895435955007i</v>
      </c>
      <c r="X346" s="4">
        <f t="shared" si="326"/>
        <v>1.0337258917982384</v>
      </c>
      <c r="Y346" s="4">
        <f t="shared" si="327"/>
        <v>-0.25614265523776808</v>
      </c>
      <c r="Z346" t="str">
        <f t="shared" si="313"/>
        <v>0.99963692194523+0.175309597945392i</v>
      </c>
      <c r="AA346" s="4">
        <f t="shared" si="328"/>
        <v>1.0148928174186223</v>
      </c>
      <c r="AB346" s="4">
        <f t="shared" si="329"/>
        <v>0.17360782384084913</v>
      </c>
      <c r="AC346" s="47" t="str">
        <f t="shared" si="330"/>
        <v>0.0209548537169742-0.755477376044143i</v>
      </c>
      <c r="AD346" s="20">
        <f t="shared" si="331"/>
        <v>-2.4322307569274737</v>
      </c>
      <c r="AE346" s="43">
        <f t="shared" si="332"/>
        <v>-88.411180855279341</v>
      </c>
      <c r="AF346" t="str">
        <f t="shared" si="314"/>
        <v>72.2956529813786</v>
      </c>
      <c r="AG346" t="str">
        <f t="shared" si="315"/>
        <v>1+23.6334441405798i</v>
      </c>
      <c r="AH346">
        <f t="shared" si="333"/>
        <v>23.654591138844605</v>
      </c>
      <c r="AI346">
        <f t="shared" si="334"/>
        <v>1.5285086331363484</v>
      </c>
      <c r="AJ346" t="str">
        <f t="shared" si="316"/>
        <v>1+0.450160840772948i</v>
      </c>
      <c r="AK346">
        <f t="shared" si="335"/>
        <v>1.0966516231535917</v>
      </c>
      <c r="AL346">
        <f t="shared" si="336"/>
        <v>0.42298767340244803</v>
      </c>
      <c r="AM346" t="str">
        <f t="shared" si="317"/>
        <v>1-0.0579609521086556i</v>
      </c>
      <c r="AN346">
        <f t="shared" si="337"/>
        <v>1.0016783275929164</v>
      </c>
      <c r="AO346">
        <f t="shared" si="338"/>
        <v>-5.7896176560951938E-2</v>
      </c>
      <c r="AP346" s="41" t="str">
        <f t="shared" si="339"/>
        <v>1.3301877852842-3.08257166978679i</v>
      </c>
      <c r="AQ346">
        <f t="shared" si="340"/>
        <v>10.519874040829221</v>
      </c>
      <c r="AR346" s="43">
        <f t="shared" si="341"/>
        <v>-66.658891722891553</v>
      </c>
      <c r="AS346" t="str">
        <f t="shared" si="318"/>
        <v>-0.0000166666666666667</v>
      </c>
      <c r="AT346" t="str">
        <f t="shared" si="319"/>
        <v>0.000407060334741495i</v>
      </c>
      <c r="AU346">
        <f t="shared" si="342"/>
        <v>4.0706033474149499E-4</v>
      </c>
      <c r="AV346">
        <f t="shared" si="343"/>
        <v>1.5707963267948966</v>
      </c>
      <c r="AW346" t="str">
        <f t="shared" si="320"/>
        <v>1+0.406708206424246i</v>
      </c>
      <c r="AX346">
        <f t="shared" si="344"/>
        <v>1.0795422942955164</v>
      </c>
      <c r="AY346">
        <f t="shared" si="345"/>
        <v>0.38627590359618763</v>
      </c>
      <c r="AZ346" t="str">
        <f t="shared" si="321"/>
        <v>1+13.8280790184244i</v>
      </c>
      <c r="BA346">
        <f t="shared" si="346"/>
        <v>13.864190179732431</v>
      </c>
      <c r="BB346">
        <f t="shared" si="347"/>
        <v>1.498605372660212</v>
      </c>
      <c r="BC346" s="41" t="str">
        <f t="shared" si="348"/>
        <v>-0.471528031705948+0.23271829136283i</v>
      </c>
      <c r="BD346">
        <f t="shared" si="349"/>
        <v>-5.5831038092483869</v>
      </c>
      <c r="BE346" s="43">
        <f t="shared" si="350"/>
        <v>153.73178400539621</v>
      </c>
      <c r="BF346" s="41" t="str">
        <f t="shared" si="351"/>
        <v>0.165932603188416+0.361105337877241i</v>
      </c>
      <c r="BG346" s="20">
        <f t="shared" si="352"/>
        <v>-8.0153345661758699</v>
      </c>
      <c r="BH346" s="43">
        <f t="shared" si="353"/>
        <v>65.320603150116895</v>
      </c>
      <c r="BI346" s="41" t="str">
        <f t="shared" si="306"/>
        <v>0.0901499838018947+1.76307798063013i</v>
      </c>
      <c r="BJ346" s="20">
        <f t="shared" si="354"/>
        <v>4.9367702315808408</v>
      </c>
      <c r="BK346" s="43">
        <f t="shared" si="307"/>
        <v>87.072892282504668</v>
      </c>
      <c r="BL346">
        <f t="shared" si="355"/>
        <v>-8.0153345661758699</v>
      </c>
      <c r="BM346" s="43">
        <f t="shared" si="356"/>
        <v>65.320603150116895</v>
      </c>
    </row>
    <row r="347" spans="14:65" x14ac:dyDescent="0.25">
      <c r="N347" s="9">
        <v>29</v>
      </c>
      <c r="O347" s="34">
        <f t="shared" si="308"/>
        <v>19498.445997580486</v>
      </c>
      <c r="P347" s="33" t="str">
        <f t="shared" si="309"/>
        <v>19.6196196196196</v>
      </c>
      <c r="Q347" s="4" t="str">
        <f t="shared" si="310"/>
        <v>1+29.6549787500795i</v>
      </c>
      <c r="R347" s="4">
        <f t="shared" si="322"/>
        <v>29.671834534919924</v>
      </c>
      <c r="S347" s="4">
        <f t="shared" si="323"/>
        <v>1.5370879492520035</v>
      </c>
      <c r="T347" s="4" t="str">
        <f t="shared" si="311"/>
        <v>1+0.460646433762168i</v>
      </c>
      <c r="U347" s="4">
        <f t="shared" si="324"/>
        <v>1.1009973373890618</v>
      </c>
      <c r="V347" s="4">
        <f t="shared" si="325"/>
        <v>0.43167214703060891</v>
      </c>
      <c r="W347" t="str">
        <f t="shared" si="312"/>
        <v>1-0.26799576432307i</v>
      </c>
      <c r="X347" s="4">
        <f t="shared" si="326"/>
        <v>1.0352882350800219</v>
      </c>
      <c r="Y347" s="4">
        <f t="shared" si="327"/>
        <v>-0.26184283945995351</v>
      </c>
      <c r="Z347" t="str">
        <f t="shared" si="313"/>
        <v>0.999619810603679+0.179393083057075i</v>
      </c>
      <c r="AA347" s="4">
        <f t="shared" si="328"/>
        <v>1.0155893087267398</v>
      </c>
      <c r="AB347" s="4">
        <f t="shared" si="329"/>
        <v>0.17757110734712234</v>
      </c>
      <c r="AC347" s="47" t="str">
        <f t="shared" si="330"/>
        <v>0.0192682166995965-0.741872343054544i</v>
      </c>
      <c r="AD347" s="20">
        <f t="shared" si="331"/>
        <v>-2.5904877648279232</v>
      </c>
      <c r="AE347" s="43">
        <f t="shared" si="332"/>
        <v>-88.512224685585537</v>
      </c>
      <c r="AF347" t="str">
        <f t="shared" si="314"/>
        <v>72.2956529813786</v>
      </c>
      <c r="AG347" t="str">
        <f t="shared" si="315"/>
        <v>1+24.1839377725138i</v>
      </c>
      <c r="AH347">
        <f t="shared" si="333"/>
        <v>24.204603822100037</v>
      </c>
      <c r="AI347">
        <f t="shared" si="334"/>
        <v>1.5294701102299364</v>
      </c>
      <c r="AJ347" t="str">
        <f t="shared" si="316"/>
        <v>1+0.460646433762168i</v>
      </c>
      <c r="AK347">
        <f t="shared" si="335"/>
        <v>1.1009973373890618</v>
      </c>
      <c r="AL347">
        <f t="shared" si="336"/>
        <v>0.43167214703060891</v>
      </c>
      <c r="AM347" t="str">
        <f t="shared" si="317"/>
        <v>1-0.0593110361187073i</v>
      </c>
      <c r="AN347">
        <f t="shared" si="337"/>
        <v>1.0017573553538175</v>
      </c>
      <c r="AO347">
        <f t="shared" si="338"/>
        <v>-5.9241634443317211E-2</v>
      </c>
      <c r="AP347" s="41" t="str">
        <f t="shared" si="339"/>
        <v>1.32447911241268-3.01631579840748i</v>
      </c>
      <c r="AQ347">
        <f t="shared" si="340"/>
        <v>10.355260294059699</v>
      </c>
      <c r="AR347" s="43">
        <f t="shared" si="341"/>
        <v>-66.293485674438585</v>
      </c>
      <c r="AS347" t="str">
        <f t="shared" si="318"/>
        <v>-0.0000166666666666667</v>
      </c>
      <c r="AT347" t="str">
        <f t="shared" si="319"/>
        <v>0.00041654198797643i</v>
      </c>
      <c r="AU347">
        <f t="shared" si="342"/>
        <v>4.1654198797642998E-4</v>
      </c>
      <c r="AV347">
        <f t="shared" si="343"/>
        <v>1.5707963267948966</v>
      </c>
      <c r="AW347" t="str">
        <f t="shared" si="320"/>
        <v>1+0.416181657537003i</v>
      </c>
      <c r="AX347">
        <f t="shared" si="344"/>
        <v>1.0831468838852132</v>
      </c>
      <c r="AY347">
        <f t="shared" si="345"/>
        <v>0.39437778633336146</v>
      </c>
      <c r="AZ347" t="str">
        <f t="shared" si="321"/>
        <v>1+14.1501763562581i</v>
      </c>
      <c r="BA347">
        <f t="shared" si="346"/>
        <v>14.185467595860413</v>
      </c>
      <c r="BB347">
        <f t="shared" si="347"/>
        <v>1.5002431285364974</v>
      </c>
      <c r="BC347" s="41" t="str">
        <f t="shared" si="348"/>
        <v>-0.468394870518558+0.234949326331094i</v>
      </c>
      <c r="BD347">
        <f t="shared" si="349"/>
        <v>-5.6130746876961179</v>
      </c>
      <c r="BE347" s="43">
        <f t="shared" si="350"/>
        <v>153.36141681803028</v>
      </c>
      <c r="BF347" s="41" t="str">
        <f t="shared" si="351"/>
        <v>0.165277273358204+0.352016254599504i</v>
      </c>
      <c r="BG347" s="20">
        <f t="shared" si="352"/>
        <v>-8.2035624525240465</v>
      </c>
      <c r="BH347" s="43">
        <f t="shared" si="353"/>
        <v>64.849192132444784</v>
      </c>
      <c r="BI347" s="41" t="str">
        <f t="shared" si="306"/>
        <v>0.0883021424746016+1.72401232303912i</v>
      </c>
      <c r="BJ347" s="20">
        <f t="shared" si="354"/>
        <v>4.7421856063635959</v>
      </c>
      <c r="BK347" s="43">
        <f t="shared" si="307"/>
        <v>87.067931143591693</v>
      </c>
      <c r="BL347">
        <f t="shared" si="355"/>
        <v>-8.2035624525240465</v>
      </c>
      <c r="BM347" s="43">
        <f t="shared" si="356"/>
        <v>64.849192132444784</v>
      </c>
    </row>
    <row r="348" spans="14:65" x14ac:dyDescent="0.25">
      <c r="N348" s="9">
        <v>30</v>
      </c>
      <c r="O348" s="34">
        <f t="shared" si="308"/>
        <v>19952.623149688792</v>
      </c>
      <c r="P348" s="33" t="str">
        <f t="shared" si="309"/>
        <v>19.6196196196196</v>
      </c>
      <c r="Q348" s="4" t="str">
        <f t="shared" si="310"/>
        <v>1+30.3457319411911i</v>
      </c>
      <c r="R348" s="4">
        <f t="shared" si="322"/>
        <v>30.362204252106366</v>
      </c>
      <c r="S348" s="4">
        <f t="shared" si="323"/>
        <v>1.537854684177941</v>
      </c>
      <c r="T348" s="4" t="str">
        <f t="shared" si="311"/>
        <v>1+0.471376267587948i</v>
      </c>
      <c r="U348" s="4">
        <f t="shared" si="324"/>
        <v>1.1055295498742423</v>
      </c>
      <c r="V348" s="4">
        <f t="shared" si="325"/>
        <v>0.44048754649573102</v>
      </c>
      <c r="W348" t="str">
        <f t="shared" si="312"/>
        <v>1-0.274238187592723i</v>
      </c>
      <c r="X348" s="4">
        <f t="shared" si="326"/>
        <v>1.0369216863071875</v>
      </c>
      <c r="Y348" s="4">
        <f t="shared" si="327"/>
        <v>-0.26765782212155093</v>
      </c>
      <c r="Z348" t="str">
        <f t="shared" si="313"/>
        <v>0.999601892829447+0.183571684755945i</v>
      </c>
      <c r="AA348" s="4">
        <f t="shared" si="328"/>
        <v>1.0163181133839685</v>
      </c>
      <c r="AB348" s="4">
        <f t="shared" si="329"/>
        <v>0.18162109132232712</v>
      </c>
      <c r="AC348" s="47" t="str">
        <f t="shared" si="330"/>
        <v>0.0176004514760945-0.728647152789371i</v>
      </c>
      <c r="AD348" s="20">
        <f t="shared" si="331"/>
        <v>-2.7471213483339612</v>
      </c>
      <c r="AE348" s="43">
        <f t="shared" si="332"/>
        <v>-88.61629113009981</v>
      </c>
      <c r="AF348" t="str">
        <f t="shared" si="314"/>
        <v>72.2956529813786</v>
      </c>
      <c r="AG348" t="str">
        <f t="shared" si="315"/>
        <v>1+24.7472540483673i</v>
      </c>
      <c r="AH348">
        <f t="shared" si="333"/>
        <v>24.767450069283107</v>
      </c>
      <c r="AI348">
        <f t="shared" si="334"/>
        <v>1.5304097753117634</v>
      </c>
      <c r="AJ348" t="str">
        <f t="shared" si="316"/>
        <v>1+0.471376267587948i</v>
      </c>
      <c r="AK348">
        <f t="shared" si="335"/>
        <v>1.1055295498742423</v>
      </c>
      <c r="AL348">
        <f t="shared" si="336"/>
        <v>0.44048754649573102</v>
      </c>
      <c r="AM348" t="str">
        <f t="shared" si="317"/>
        <v>1-0.060692567625184i</v>
      </c>
      <c r="AN348">
        <f t="shared" si="337"/>
        <v>1.0018401008968134</v>
      </c>
      <c r="AO348">
        <f t="shared" si="338"/>
        <v>-6.0618209765175346E-2</v>
      </c>
      <c r="AP348" s="41" t="str">
        <f t="shared" si="339"/>
        <v>1.31902651470831-2.95163799840232i</v>
      </c>
      <c r="AQ348">
        <f t="shared" si="340"/>
        <v>10.191993104782034</v>
      </c>
      <c r="AR348" s="43">
        <f t="shared" si="341"/>
        <v>-65.92111128983386</v>
      </c>
      <c r="AS348" t="str">
        <f t="shared" si="318"/>
        <v>-0.0000166666666666667</v>
      </c>
      <c r="AT348" t="str">
        <f t="shared" si="319"/>
        <v>0.000426244497286974i</v>
      </c>
      <c r="AU348">
        <f t="shared" si="342"/>
        <v>4.2624449728697402E-4</v>
      </c>
      <c r="AV348">
        <f t="shared" si="343"/>
        <v>1.5707963267948966</v>
      </c>
      <c r="AW348" t="str">
        <f t="shared" si="320"/>
        <v>1+0.425875773673405i</v>
      </c>
      <c r="AX348">
        <f t="shared" si="344"/>
        <v>1.0869085401274208</v>
      </c>
      <c r="AY348">
        <f t="shared" si="345"/>
        <v>0.40261220170497863</v>
      </c>
      <c r="AZ348" t="str">
        <f t="shared" si="321"/>
        <v>1+14.4797763048957i</v>
      </c>
      <c r="BA348">
        <f t="shared" si="346"/>
        <v>14.514266148855718</v>
      </c>
      <c r="BB348">
        <f t="shared" si="347"/>
        <v>1.5018439709504643</v>
      </c>
      <c r="BC348" s="41" t="str">
        <f t="shared" si="348"/>
        <v>-0.465158367180258+0.23720086854587i</v>
      </c>
      <c r="BD348">
        <f t="shared" si="349"/>
        <v>-5.6441590883786494</v>
      </c>
      <c r="BE348" s="43">
        <f t="shared" si="350"/>
        <v>152.98134108446476</v>
      </c>
      <c r="BF348" s="41" t="str">
        <f t="shared" si="351"/>
        <v>0.164648740234859+0.343111162218977i</v>
      </c>
      <c r="BG348" s="20">
        <f t="shared" si="352"/>
        <v>-8.3912804367126022</v>
      </c>
      <c r="BH348" s="43">
        <f t="shared" si="353"/>
        <v>64.365049954364906</v>
      </c>
      <c r="BI348" s="41" t="str">
        <f t="shared" si="306"/>
        <v>0.0865748770048396+1.68585334676787i</v>
      </c>
      <c r="BJ348" s="20">
        <f t="shared" si="354"/>
        <v>4.5478340164033781</v>
      </c>
      <c r="BK348" s="43">
        <f t="shared" si="307"/>
        <v>87.060229794630914</v>
      </c>
      <c r="BL348">
        <f t="shared" si="355"/>
        <v>-8.3912804367126022</v>
      </c>
      <c r="BM348" s="43">
        <f t="shared" si="356"/>
        <v>64.365049954364906</v>
      </c>
    </row>
    <row r="349" spans="14:65" x14ac:dyDescent="0.25">
      <c r="N349" s="9">
        <v>31</v>
      </c>
      <c r="O349" s="34">
        <f t="shared" si="308"/>
        <v>20417.379446695286</v>
      </c>
      <c r="P349" s="33" t="str">
        <f t="shared" si="309"/>
        <v>19.6196196196196</v>
      </c>
      <c r="Q349" s="4" t="str">
        <f t="shared" si="310"/>
        <v>1+31.052574841051i</v>
      </c>
      <c r="R349" s="4">
        <f t="shared" si="322"/>
        <v>31.068672392927795</v>
      </c>
      <c r="S349" s="4">
        <f t="shared" si="323"/>
        <v>1.5386040035273891</v>
      </c>
      <c r="T349" s="4" t="str">
        <f t="shared" si="311"/>
        <v>1+0.482356031350203i</v>
      </c>
      <c r="U349" s="4">
        <f t="shared" si="324"/>
        <v>1.1102555295876342</v>
      </c>
      <c r="V349" s="4">
        <f t="shared" si="325"/>
        <v>0.44943306437432867</v>
      </c>
      <c r="W349" t="str">
        <f t="shared" si="312"/>
        <v>1-0.280626015579407i</v>
      </c>
      <c r="X349" s="4">
        <f t="shared" si="326"/>
        <v>1.0386293663381436</v>
      </c>
      <c r="Y349" s="4">
        <f t="shared" si="327"/>
        <v>-0.27358911274210218</v>
      </c>
      <c r="Z349" t="str">
        <f t="shared" si="313"/>
        <v>0.99958313061653+0.187847618591929i</v>
      </c>
      <c r="AA349" s="4">
        <f t="shared" si="328"/>
        <v>1.0170807061505993</v>
      </c>
      <c r="AB349" s="4">
        <f t="shared" si="329"/>
        <v>0.18575941085905878</v>
      </c>
      <c r="AC349" s="47" t="str">
        <f t="shared" si="330"/>
        <v>0.0159482908546537-0.715794313734797i</v>
      </c>
      <c r="AD349" s="20">
        <f t="shared" si="331"/>
        <v>-2.9020797169870245</v>
      </c>
      <c r="AE349" s="43">
        <f t="shared" si="332"/>
        <v>-88.723629709682584</v>
      </c>
      <c r="AF349" t="str">
        <f t="shared" si="314"/>
        <v>72.2956529813786</v>
      </c>
      <c r="AG349" t="str">
        <f t="shared" si="315"/>
        <v>1+25.3236916458857i</v>
      </c>
      <c r="AH349">
        <f t="shared" si="333"/>
        <v>25.343428311416378</v>
      </c>
      <c r="AI349">
        <f t="shared" si="334"/>
        <v>1.5313281199633368</v>
      </c>
      <c r="AJ349" t="str">
        <f t="shared" si="316"/>
        <v>1+0.482356031350203i</v>
      </c>
      <c r="AK349">
        <f t="shared" si="335"/>
        <v>1.1102555295876342</v>
      </c>
      <c r="AL349">
        <f t="shared" si="336"/>
        <v>0.44943306437432867</v>
      </c>
      <c r="AM349" t="str">
        <f t="shared" si="317"/>
        <v>1-0.0621062791343763i</v>
      </c>
      <c r="AN349">
        <f t="shared" si="337"/>
        <v>1.0019267387927708</v>
      </c>
      <c r="AO349">
        <f t="shared" si="338"/>
        <v>-6.2026611524754027E-2</v>
      </c>
      <c r="AP349" s="41" t="str">
        <f t="shared" si="339"/>
        <v>1.31381854215471-2.88850538846738i</v>
      </c>
      <c r="AQ349">
        <f t="shared" si="340"/>
        <v>10.030114661906318</v>
      </c>
      <c r="AR349" s="43">
        <f t="shared" si="341"/>
        <v>-65.541883619187772</v>
      </c>
      <c r="AS349" t="str">
        <f t="shared" si="318"/>
        <v>-0.0000166666666666667</v>
      </c>
      <c r="AT349" t="str">
        <f t="shared" si="319"/>
        <v>0.000436173007071993i</v>
      </c>
      <c r="AU349">
        <f t="shared" si="342"/>
        <v>4.3617300707199299E-4</v>
      </c>
      <c r="AV349">
        <f t="shared" si="343"/>
        <v>1.5707963267948966</v>
      </c>
      <c r="AW349" t="str">
        <f t="shared" si="320"/>
        <v>1+0.435795694782138i</v>
      </c>
      <c r="AX349">
        <f t="shared" si="344"/>
        <v>1.0908335746531854</v>
      </c>
      <c r="AY349">
        <f t="shared" si="345"/>
        <v>0.41097904794052648</v>
      </c>
      <c r="AZ349" t="str">
        <f t="shared" si="321"/>
        <v>1+14.8170536225927i</v>
      </c>
      <c r="BA349">
        <f t="shared" si="346"/>
        <v>14.850760184407648</v>
      </c>
      <c r="BB349">
        <f t="shared" si="347"/>
        <v>1.5034087158517306</v>
      </c>
      <c r="BC349" s="41" t="str">
        <f t="shared" si="348"/>
        <v>-0.461816926347723+0.239468965595642i</v>
      </c>
      <c r="BD349">
        <f t="shared" si="349"/>
        <v>-5.6763969473559053</v>
      </c>
      <c r="BE349" s="43">
        <f t="shared" si="350"/>
        <v>152.59160938619013</v>
      </c>
      <c r="BF349" s="41" t="str">
        <f t="shared" si="351"/>
        <v>0.164045333226319+0.334385050580164i</v>
      </c>
      <c r="BG349" s="20">
        <f t="shared" si="352"/>
        <v>-8.5784766643429258</v>
      </c>
      <c r="BH349" s="43">
        <f t="shared" si="353"/>
        <v>63.867979676507474</v>
      </c>
      <c r="BI349" s="41" t="str">
        <f t="shared" si="306"/>
        <v>0.0849637565771871+1.648579447511i</v>
      </c>
      <c r="BJ349" s="20">
        <f t="shared" si="354"/>
        <v>4.3537177145503936</v>
      </c>
      <c r="BK349" s="43">
        <f t="shared" si="307"/>
        <v>87.049725767002343</v>
      </c>
      <c r="BL349">
        <f t="shared" si="355"/>
        <v>-8.5784766643429258</v>
      </c>
      <c r="BM349" s="43">
        <f t="shared" si="356"/>
        <v>63.867979676507474</v>
      </c>
    </row>
    <row r="350" spans="14:65" x14ac:dyDescent="0.25">
      <c r="N350" s="9">
        <v>32</v>
      </c>
      <c r="O350" s="34">
        <f t="shared" si="308"/>
        <v>20892.961308540423</v>
      </c>
      <c r="P350" s="33" t="str">
        <f t="shared" si="309"/>
        <v>19.6196196196196</v>
      </c>
      <c r="Q350" s="4" t="str">
        <f t="shared" si="310"/>
        <v>1+31.7758822271213i</v>
      </c>
      <c r="R350" s="4">
        <f t="shared" si="322"/>
        <v>31.791613537407681</v>
      </c>
      <c r="S350" s="4">
        <f t="shared" si="323"/>
        <v>1.5393363012316419</v>
      </c>
      <c r="T350" s="4" t="str">
        <f t="shared" si="311"/>
        <v>1+0.493591546665021i</v>
      </c>
      <c r="U350" s="4">
        <f t="shared" si="324"/>
        <v>1.1151827719881471</v>
      </c>
      <c r="V350" s="4">
        <f t="shared" si="325"/>
        <v>0.45850771597418633</v>
      </c>
      <c r="W350" t="str">
        <f t="shared" si="312"/>
        <v>1-0.287162635194079i</v>
      </c>
      <c r="X350" s="4">
        <f t="shared" si="326"/>
        <v>1.0404145227031425</v>
      </c>
      <c r="Y350" s="4">
        <f t="shared" si="327"/>
        <v>-0.27963818619291542</v>
      </c>
      <c r="Z350" t="str">
        <f t="shared" si="313"/>
        <v>0.99956348416776+0.19222315172175i</v>
      </c>
      <c r="AA350" s="4">
        <f t="shared" si="328"/>
        <v>1.0178786268212114</v>
      </c>
      <c r="AB350" s="4">
        <f t="shared" si="329"/>
        <v>0.1899877136624086</v>
      </c>
      <c r="AC350" s="47" t="str">
        <f t="shared" si="330"/>
        <v>0.0143085225750883-0.703306473779465i</v>
      </c>
      <c r="AD350" s="20">
        <f t="shared" si="331"/>
        <v>-3.0553105063272898</v>
      </c>
      <c r="AE350" s="43">
        <f t="shared" si="332"/>
        <v>-88.834498324091413</v>
      </c>
      <c r="AF350" t="str">
        <f t="shared" si="314"/>
        <v>72.2956529813786</v>
      </c>
      <c r="AG350" t="str">
        <f t="shared" si="315"/>
        <v>1+25.9135561999136i</v>
      </c>
      <c r="AH350">
        <f t="shared" si="333"/>
        <v>25.932843942114804</v>
      </c>
      <c r="AI350">
        <f t="shared" si="334"/>
        <v>1.5322256249036756</v>
      </c>
      <c r="AJ350" t="str">
        <f t="shared" si="316"/>
        <v>1+0.493591546665021i</v>
      </c>
      <c r="AK350">
        <f t="shared" si="335"/>
        <v>1.1151827719881471</v>
      </c>
      <c r="AL350">
        <f t="shared" si="336"/>
        <v>0.45850771597418633</v>
      </c>
      <c r="AM350" t="str">
        <f t="shared" si="317"/>
        <v>1-0.0635529202148401i</v>
      </c>
      <c r="AN350">
        <f t="shared" si="337"/>
        <v>1.0020174517780784</v>
      </c>
      <c r="AO350">
        <f t="shared" si="338"/>
        <v>-6.3467564113096245E-2</v>
      </c>
      <c r="AP350" s="41" t="str">
        <f t="shared" si="339"/>
        <v>1.30884425347194-2.82688581284805i</v>
      </c>
      <c r="AQ350">
        <f t="shared" si="340"/>
        <v>9.8696675042618871</v>
      </c>
      <c r="AR350" s="43">
        <f t="shared" si="341"/>
        <v>-65.155928128928153</v>
      </c>
      <c r="AS350" t="str">
        <f t="shared" si="318"/>
        <v>-0.0000166666666666667</v>
      </c>
      <c r="AT350" t="str">
        <f t="shared" si="319"/>
        <v>0.000446332781558795i</v>
      </c>
      <c r="AU350">
        <f t="shared" si="342"/>
        <v>4.4633278155879503E-4</v>
      </c>
      <c r="AV350">
        <f t="shared" si="343"/>
        <v>1.5707963267948966</v>
      </c>
      <c r="AW350" t="str">
        <f t="shared" si="320"/>
        <v>1+0.445946680536687i</v>
      </c>
      <c r="AX350">
        <f t="shared" si="344"/>
        <v>1.0949285099410326</v>
      </c>
      <c r="AY350">
        <f t="shared" si="345"/>
        <v>0.41947807449226859</v>
      </c>
      <c r="AZ350" t="str">
        <f t="shared" si="321"/>
        <v>1+15.1621871382473i</v>
      </c>
      <c r="BA350">
        <f t="shared" si="346"/>
        <v>15.195128127634586</v>
      </c>
      <c r="BB350">
        <f t="shared" si="347"/>
        <v>1.5049381622222178</v>
      </c>
      <c r="BC350" s="41" t="str">
        <f t="shared" si="348"/>
        <v>-0.458369077253198+0.241749514101766i</v>
      </c>
      <c r="BD350">
        <f t="shared" si="349"/>
        <v>-5.7098286693433202</v>
      </c>
      <c r="BE350" s="43">
        <f t="shared" si="350"/>
        <v>152.19228185682621</v>
      </c>
      <c r="BF350" s="41" t="str">
        <f t="shared" si="351"/>
        <v>0.163465414011212+0.325833017792536i</v>
      </c>
      <c r="BG350" s="20">
        <f t="shared" si="352"/>
        <v>-8.7651391756706047</v>
      </c>
      <c r="BH350" s="43">
        <f t="shared" si="353"/>
        <v>63.357783532734857</v>
      </c>
      <c r="BI350" s="41" t="str">
        <f t="shared" si="306"/>
        <v>0.083464538945108+1.61216950384705i</v>
      </c>
      <c r="BJ350" s="20">
        <f t="shared" si="354"/>
        <v>4.1598388349185802</v>
      </c>
      <c r="BK350" s="43">
        <f t="shared" si="307"/>
        <v>87.03635372789806</v>
      </c>
      <c r="BL350">
        <f t="shared" si="355"/>
        <v>-8.7651391756706047</v>
      </c>
      <c r="BM350" s="43">
        <f t="shared" si="356"/>
        <v>63.357783532734857</v>
      </c>
    </row>
    <row r="351" spans="14:65" x14ac:dyDescent="0.25">
      <c r="N351" s="9">
        <v>33</v>
      </c>
      <c r="O351" s="34">
        <f t="shared" si="308"/>
        <v>21379.620895022348</v>
      </c>
      <c r="P351" s="33" t="str">
        <f t="shared" si="309"/>
        <v>19.6196196196196</v>
      </c>
      <c r="Q351" s="4" t="str">
        <f t="shared" si="310"/>
        <v>1+32.5160376065517i</v>
      </c>
      <c r="R351" s="4">
        <f t="shared" si="322"/>
        <v>32.531410999688966</v>
      </c>
      <c r="S351" s="4">
        <f t="shared" si="323"/>
        <v>1.5400519624212232</v>
      </c>
      <c r="T351" s="4" t="str">
        <f t="shared" si="311"/>
        <v>1+0.505088770751334i</v>
      </c>
      <c r="U351" s="4">
        <f t="shared" si="324"/>
        <v>1.1203190020432099</v>
      </c>
      <c r="V351" s="4">
        <f t="shared" si="325"/>
        <v>0.4677103334940525</v>
      </c>
      <c r="W351" t="str">
        <f t="shared" si="312"/>
        <v>1-0.293851512238974i</v>
      </c>
      <c r="X351" s="4">
        <f t="shared" si="326"/>
        <v>1.0422805338511949</v>
      </c>
      <c r="Y351" s="4">
        <f t="shared" si="327"/>
        <v>-0.28580647833251754</v>
      </c>
      <c r="Z351" t="str">
        <f t="shared" si="313"/>
        <v>0.999542911810385+0.196700604110987i</v>
      </c>
      <c r="AA351" s="4">
        <f t="shared" si="328"/>
        <v>1.0187134828831952</v>
      </c>
      <c r="AB351" s="4">
        <f t="shared" si="329"/>
        <v>0.19430765875403963</v>
      </c>
      <c r="AC351" s="47" t="str">
        <f t="shared" si="330"/>
        <v>0.0126779846006503-0.691176414726662i</v>
      </c>
      <c r="AD351" s="20">
        <f t="shared" si="331"/>
        <v>-3.2067608523616782</v>
      </c>
      <c r="AE351" s="43">
        <f t="shared" si="332"/>
        <v>-88.94916327333587</v>
      </c>
      <c r="AF351" t="str">
        <f t="shared" si="314"/>
        <v>72.2956529813786</v>
      </c>
      <c r="AG351" t="str">
        <f t="shared" si="315"/>
        <v>1+26.517160464445i</v>
      </c>
      <c r="AH351">
        <f t="shared" si="333"/>
        <v>26.536009479519048</v>
      </c>
      <c r="AI351">
        <f t="shared" si="334"/>
        <v>1.5331027602148484</v>
      </c>
      <c r="AJ351" t="str">
        <f t="shared" si="316"/>
        <v>1+0.505088770751334i</v>
      </c>
      <c r="AK351">
        <f t="shared" si="335"/>
        <v>1.1203190020432099</v>
      </c>
      <c r="AL351">
        <f t="shared" si="336"/>
        <v>0.4677103334940525</v>
      </c>
      <c r="AM351" t="str">
        <f t="shared" si="317"/>
        <v>1-0.0650332578948235i</v>
      </c>
      <c r="AN351">
        <f t="shared" si="337"/>
        <v>1.0021124311335603</v>
      </c>
      <c r="AO351">
        <f t="shared" si="338"/>
        <v>-6.4941807593523873E-2</v>
      </c>
      <c r="AP351" s="41" t="str">
        <f t="shared" si="339"/>
        <v>1.30409319379713-2.76674783049219i</v>
      </c>
      <c r="AQ351">
        <f t="shared" si="340"/>
        <v>9.71069445586466</v>
      </c>
      <c r="AR351" s="43">
        <f t="shared" si="341"/>
        <v>-64.763381065361969</v>
      </c>
      <c r="AS351" t="str">
        <f t="shared" si="318"/>
        <v>-0.0000166666666666667</v>
      </c>
      <c r="AT351" t="str">
        <f t="shared" si="319"/>
        <v>0.000456729207594292i</v>
      </c>
      <c r="AU351">
        <f t="shared" si="342"/>
        <v>4.5672920759429197E-4</v>
      </c>
      <c r="AV351">
        <f t="shared" si="343"/>
        <v>1.5707963267948966</v>
      </c>
      <c r="AW351" t="str">
        <f t="shared" si="320"/>
        <v>1+0.456334113124055i</v>
      </c>
      <c r="AX351">
        <f t="shared" si="344"/>
        <v>1.0992000831517061</v>
      </c>
      <c r="AY351">
        <f t="shared" si="345"/>
        <v>0.42810887529751479</v>
      </c>
      <c r="AZ351" t="str">
        <f t="shared" si="321"/>
        <v>1+15.5153598462178i</v>
      </c>
      <c r="BA351">
        <f t="shared" si="346"/>
        <v>15.547552577741222</v>
      </c>
      <c r="BB351">
        <f t="shared" si="347"/>
        <v>1.5064330923570042</v>
      </c>
      <c r="BC351" s="41" t="str">
        <f t="shared" si="348"/>
        <v>-0.454813486751326+0.244038261953547i</v>
      </c>
      <c r="BD351">
        <f t="shared" si="349"/>
        <v>-5.7444950838960001</v>
      </c>
      <c r="BE351" s="43">
        <f t="shared" si="350"/>
        <v>151.7834265842576</v>
      </c>
      <c r="BF351" s="41" t="str">
        <f t="shared" si="351"/>
        <v>0.162907372571977+0.31745026846913i</v>
      </c>
      <c r="BG351" s="20">
        <f t="shared" si="352"/>
        <v>-8.9512559362576862</v>
      </c>
      <c r="BH351" s="43">
        <f t="shared" si="353"/>
        <v>62.834263310921763</v>
      </c>
      <c r="BI351" s="41" t="str">
        <f t="shared" si="306"/>
        <v>0.0820731592975156+1.57660286418752i</v>
      </c>
      <c r="BJ351" s="20">
        <f t="shared" si="354"/>
        <v>3.9661993719686524</v>
      </c>
      <c r="BK351" s="43">
        <f t="shared" si="307"/>
        <v>87.020045518895643</v>
      </c>
      <c r="BL351">
        <f t="shared" si="355"/>
        <v>-8.9512559362576862</v>
      </c>
      <c r="BM351" s="43">
        <f t="shared" si="356"/>
        <v>62.834263310921763</v>
      </c>
    </row>
    <row r="352" spans="14:65" x14ac:dyDescent="0.25">
      <c r="N352" s="9">
        <v>34</v>
      </c>
      <c r="O352" s="34">
        <f t="shared" si="308"/>
        <v>21877.61623949555</v>
      </c>
      <c r="P352" s="33" t="str">
        <f t="shared" si="309"/>
        <v>19.6196196196196</v>
      </c>
      <c r="Q352" s="4" t="str">
        <f t="shared" si="310"/>
        <v>1+33.2734334195219i</v>
      </c>
      <c r="R352" s="4">
        <f t="shared" si="322"/>
        <v>33.288457031279734</v>
      </c>
      <c r="S352" s="4">
        <f t="shared" si="323"/>
        <v>1.5407513636151646</v>
      </c>
      <c r="T352" s="4" t="str">
        <f t="shared" si="311"/>
        <v>1+0.51685379958954i</v>
      </c>
      <c r="U352" s="4">
        <f t="shared" si="324"/>
        <v>1.125672177034746</v>
      </c>
      <c r="V352" s="4">
        <f t="shared" si="325"/>
        <v>0.47703956052026047</v>
      </c>
      <c r="W352" t="str">
        <f t="shared" si="312"/>
        <v>1-0.300696193245245i</v>
      </c>
      <c r="X352" s="4">
        <f t="shared" si="326"/>
        <v>1.0442309134631964</v>
      </c>
      <c r="Y352" s="4">
        <f t="shared" si="327"/>
        <v>-0.29209538142890756</v>
      </c>
      <c r="Z352" t="str">
        <f t="shared" si="313"/>
        <v>0.999521369907677+0.201282349764164i</v>
      </c>
      <c r="AA352" s="4">
        <f t="shared" si="328"/>
        <v>1.0195869522648389</v>
      </c>
      <c r="AB352" s="4">
        <f t="shared" si="329"/>
        <v>0.19872091505837366</v>
      </c>
      <c r="AC352" s="47" t="str">
        <f t="shared" si="330"/>
        <v>0.0110535606680963-0.67939704670201i</v>
      </c>
      <c r="AD352" s="20">
        <f t="shared" si="331"/>
        <v>-3.3563774725722939</v>
      </c>
      <c r="AE352" s="43">
        <f t="shared" si="332"/>
        <v>-89.067899240551782</v>
      </c>
      <c r="AF352" t="str">
        <f t="shared" si="314"/>
        <v>72.2956529813786</v>
      </c>
      <c r="AG352" t="str">
        <f t="shared" si="315"/>
        <v>1+27.1348244784509i</v>
      </c>
      <c r="AH352">
        <f t="shared" si="333"/>
        <v>27.153244732008329</v>
      </c>
      <c r="AI352">
        <f t="shared" si="334"/>
        <v>1.53395998556382</v>
      </c>
      <c r="AJ352" t="str">
        <f t="shared" si="316"/>
        <v>1+0.51685379958954i</v>
      </c>
      <c r="AK352">
        <f t="shared" si="335"/>
        <v>1.125672177034746</v>
      </c>
      <c r="AL352">
        <f t="shared" si="336"/>
        <v>0.47703956052026047</v>
      </c>
      <c r="AM352" t="str">
        <f t="shared" si="317"/>
        <v>1-0.06654807706896i</v>
      </c>
      <c r="AN352">
        <f t="shared" si="337"/>
        <v>1.002211877080678</v>
      </c>
      <c r="AO352">
        <f t="shared" si="338"/>
        <v>-6.6450097982104148E-2</v>
      </c>
      <c r="AP352" s="41" t="str">
        <f t="shared" si="339"/>
        <v>1.29955537331944-2.70806070417382i</v>
      </c>
      <c r="AQ352">
        <f t="shared" si="340"/>
        <v>9.5532385563253648</v>
      </c>
      <c r="AR352" s="43">
        <f t="shared" si="341"/>
        <v>-64.36438979877434</v>
      </c>
      <c r="AS352" t="str">
        <f t="shared" si="318"/>
        <v>-0.0000166666666666667</v>
      </c>
      <c r="AT352" t="str">
        <f t="shared" si="319"/>
        <v>0.000467367797501181i</v>
      </c>
      <c r="AU352">
        <f t="shared" si="342"/>
        <v>4.6736779750118098E-4</v>
      </c>
      <c r="AV352">
        <f t="shared" si="343"/>
        <v>1.5707963267948966</v>
      </c>
      <c r="AW352" t="str">
        <f t="shared" si="320"/>
        <v>1+0.466963500098499i</v>
      </c>
      <c r="AX352">
        <f t="shared" si="344"/>
        <v>1.1036552498059531</v>
      </c>
      <c r="AY352">
        <f t="shared" si="345"/>
        <v>0.43687088216617243</v>
      </c>
      <c r="AZ352" t="str">
        <f t="shared" si="321"/>
        <v>1+15.8767590033489i</v>
      </c>
      <c r="BA352">
        <f t="shared" si="346"/>
        <v>15.908220404885657</v>
      </c>
      <c r="BB352">
        <f t="shared" si="347"/>
        <v>1.5078942721456279</v>
      </c>
      <c r="BC352" s="41" t="str">
        <f t="shared" si="348"/>
        <v>-0.451148972636949+0.246330811566692i</v>
      </c>
      <c r="BD352">
        <f t="shared" si="349"/>
        <v>-5.780437396630715</v>
      </c>
      <c r="BE352" s="43">
        <f t="shared" si="350"/>
        <v>151.36512000561689</v>
      </c>
      <c r="BF352" s="41" t="str">
        <f t="shared" si="351"/>
        <v>0.162369623350728+0.309232112202263i</v>
      </c>
      <c r="BG352" s="20">
        <f t="shared" si="352"/>
        <v>-9.1368148692030076</v>
      </c>
      <c r="BH352" s="43">
        <f t="shared" si="353"/>
        <v>62.29722076506512</v>
      </c>
      <c r="BI352" s="41" t="str">
        <f t="shared" si="306"/>
        <v>0.0807857194731124+1.54185933431214i</v>
      </c>
      <c r="BJ352" s="20">
        <f t="shared" si="354"/>
        <v>3.7728011596946271</v>
      </c>
      <c r="BK352" s="43">
        <f t="shared" si="307"/>
        <v>87.000730206842519</v>
      </c>
      <c r="BL352">
        <f t="shared" si="355"/>
        <v>-9.1368148692030076</v>
      </c>
      <c r="BM352" s="43">
        <f t="shared" si="356"/>
        <v>62.29722076506512</v>
      </c>
    </row>
    <row r="353" spans="14:65" x14ac:dyDescent="0.25">
      <c r="N353" s="9">
        <v>35</v>
      </c>
      <c r="O353" s="34">
        <f t="shared" si="308"/>
        <v>22387.211385683382</v>
      </c>
      <c r="P353" s="33" t="str">
        <f t="shared" si="309"/>
        <v>19.6196196196196</v>
      </c>
      <c r="Q353" s="4" t="str">
        <f t="shared" si="310"/>
        <v>1+34.0484712473168i</v>
      </c>
      <c r="R353" s="4">
        <f t="shared" si="322"/>
        <v>34.063153029033565</v>
      </c>
      <c r="S353" s="4">
        <f t="shared" si="323"/>
        <v>1.5414348729067071</v>
      </c>
      <c r="T353" s="4" t="str">
        <f t="shared" si="311"/>
        <v>1+0.528892871153656i</v>
      </c>
      <c r="U353" s="4">
        <f t="shared" si="324"/>
        <v>1.1312504891301298</v>
      </c>
      <c r="V353" s="4">
        <f t="shared" si="325"/>
        <v>0.48649384691349873</v>
      </c>
      <c r="W353" t="str">
        <f t="shared" si="312"/>
        <v>1-0.307700307353357i</v>
      </c>
      <c r="X353" s="4">
        <f t="shared" si="326"/>
        <v>1.0462693148254663</v>
      </c>
      <c r="Y353" s="4">
        <f t="shared" si="327"/>
        <v>-0.29850623936821929</v>
      </c>
      <c r="Z353" t="str">
        <f t="shared" si="313"/>
        <v>0.999498812766373+0.205970817983472i</v>
      </c>
      <c r="AA353" s="4">
        <f t="shared" si="328"/>
        <v>1.0205007861742044</v>
      </c>
      <c r="AB353" s="4">
        <f t="shared" si="329"/>
        <v>0.20322915986460635</v>
      </c>
      <c r="AC353" s="47" t="str">
        <f t="shared" si="330"/>
        <v>0.00943217609889544-0.66796140245657i</v>
      </c>
      <c r="AD353" s="20">
        <f t="shared" si="331"/>
        <v>-3.5041067535200177</v>
      </c>
      <c r="AE353" s="43">
        <f t="shared" si="332"/>
        <v>-89.190989232964</v>
      </c>
      <c r="AF353" t="str">
        <f t="shared" si="314"/>
        <v>72.2956529813786</v>
      </c>
      <c r="AG353" t="str">
        <f t="shared" si="315"/>
        <v>1+27.7668757355669i</v>
      </c>
      <c r="AH353">
        <f t="shared" si="333"/>
        <v>27.784876967775364</v>
      </c>
      <c r="AI353">
        <f t="shared" si="334"/>
        <v>1.5347977504205845</v>
      </c>
      <c r="AJ353" t="str">
        <f t="shared" si="316"/>
        <v>1+0.528892871153656i</v>
      </c>
      <c r="AK353">
        <f t="shared" si="335"/>
        <v>1.1312504891301298</v>
      </c>
      <c r="AL353">
        <f t="shared" si="336"/>
        <v>0.48649384691349873</v>
      </c>
      <c r="AM353" t="str">
        <f t="shared" si="317"/>
        <v>1-0.068098180914426i</v>
      </c>
      <c r="AN353">
        <f t="shared" si="337"/>
        <v>1.0023159991957895</v>
      </c>
      <c r="AO353">
        <f t="shared" si="338"/>
        <v>-6.7993207528747462E-2</v>
      </c>
      <c r="AP353" s="41" t="str">
        <f t="shared" si="339"/>
        <v>1.2952212468304-2.65079438960862i</v>
      </c>
      <c r="AQ353">
        <f t="shared" si="340"/>
        <v>9.397342986475115</v>
      </c>
      <c r="AR353" s="43">
        <f t="shared" si="341"/>
        <v>-63.959113144999918</v>
      </c>
      <c r="AS353" t="str">
        <f t="shared" si="318"/>
        <v>-0.0000166666666666667</v>
      </c>
      <c r="AT353" t="str">
        <f t="shared" si="319"/>
        <v>0.000478254192000648i</v>
      </c>
      <c r="AU353">
        <f t="shared" si="342"/>
        <v>4.7825419200064802E-4</v>
      </c>
      <c r="AV353">
        <f t="shared" si="343"/>
        <v>1.5707963267948966</v>
      </c>
      <c r="AW353" t="str">
        <f t="shared" si="320"/>
        <v>1+0.477840477301685i</v>
      </c>
      <c r="AX353">
        <f t="shared" si="344"/>
        <v>1.1083011872897648</v>
      </c>
      <c r="AY353">
        <f t="shared" si="345"/>
        <v>0.44576335833746172</v>
      </c>
      <c r="AZ353" t="str">
        <f t="shared" si="321"/>
        <v>1+16.2465762282573i</v>
      </c>
      <c r="BA353">
        <f t="shared" si="346"/>
        <v>16.277322849307108</v>
      </c>
      <c r="BB353">
        <f t="shared" si="347"/>
        <v>1.5093224513533894</v>
      </c>
      <c r="BC353" s="41" t="str">
        <f t="shared" si="348"/>
        <v>-0.447374517159114+0.248622624228036i</v>
      </c>
      <c r="BD353">
        <f t="shared" si="349"/>
        <v>-5.817697135407438</v>
      </c>
      <c r="BE353" s="43">
        <f t="shared" si="350"/>
        <v>150.93744729257426</v>
      </c>
      <c r="BF353" s="41" t="str">
        <f t="shared" si="351"/>
        <v>0.161850601533789+0.301173962278821i</v>
      </c>
      <c r="BG353" s="20">
        <f t="shared" si="352"/>
        <v>-9.3218038889274517</v>
      </c>
      <c r="BH353" s="43">
        <f t="shared" si="353"/>
        <v>61.746458059610227</v>
      </c>
      <c r="BI353" s="41" t="str">
        <f t="shared" si="306"/>
        <v>0.079598477518474+1.50791916548213i</v>
      </c>
      <c r="BJ353" s="20">
        <f t="shared" si="354"/>
        <v>3.5796458510676921</v>
      </c>
      <c r="BK353" s="43">
        <f t="shared" si="307"/>
        <v>86.978334147574358</v>
      </c>
      <c r="BL353">
        <f t="shared" si="355"/>
        <v>-9.3218038889274517</v>
      </c>
      <c r="BM353" s="43">
        <f t="shared" si="356"/>
        <v>61.746458059610227</v>
      </c>
    </row>
    <row r="354" spans="14:65" x14ac:dyDescent="0.25">
      <c r="N354" s="9">
        <v>36</v>
      </c>
      <c r="O354" s="34">
        <f t="shared" si="308"/>
        <v>22908.676527677751</v>
      </c>
      <c r="P354" s="33" t="str">
        <f t="shared" si="309"/>
        <v>19.6196196196196</v>
      </c>
      <c r="Q354" s="4" t="str">
        <f t="shared" si="310"/>
        <v>1+34.8415620252523i</v>
      </c>
      <c r="R354" s="4">
        <f t="shared" si="322"/>
        <v>34.85590974798253</v>
      </c>
      <c r="S354" s="4">
        <f t="shared" si="323"/>
        <v>1.542102850145461</v>
      </c>
      <c r="T354" s="4" t="str">
        <f t="shared" si="311"/>
        <v>1+0.541212368718787i</v>
      </c>
      <c r="U354" s="4">
        <f t="shared" si="324"/>
        <v>1.1370623677064511</v>
      </c>
      <c r="V354" s="4">
        <f t="shared" si="325"/>
        <v>0.49607144414028342</v>
      </c>
      <c r="W354" t="str">
        <f t="shared" si="312"/>
        <v>1-0.314867568237327i</v>
      </c>
      <c r="X354" s="4">
        <f t="shared" si="326"/>
        <v>1.0483995352572835</v>
      </c>
      <c r="Y354" s="4">
        <f t="shared" si="327"/>
        <v>-0.30504034265078606</v>
      </c>
      <c r="Z354" t="str">
        <f t="shared" si="313"/>
        <v>0.99947519253975+0.210768494656823i</v>
      </c>
      <c r="AA354" s="4">
        <f t="shared" si="328"/>
        <v>1.0214568120298937</v>
      </c>
      <c r="AB354" s="4">
        <f t="shared" si="329"/>
        <v>0.20783407715822735</v>
      </c>
      <c r="AC354" s="47" t="str">
        <f t="shared" si="330"/>
        <v>0.00781079387541437-0.656862631565251i</v>
      </c>
      <c r="AD354" s="20">
        <f t="shared" si="331"/>
        <v>-3.6498948450608437</v>
      </c>
      <c r="AE354" s="43">
        <f t="shared" si="332"/>
        <v>-89.318724477509392</v>
      </c>
      <c r="AF354" t="str">
        <f t="shared" si="314"/>
        <v>72.2956529813786</v>
      </c>
      <c r="AG354" t="str">
        <f t="shared" si="315"/>
        <v>1+28.4136493577363i</v>
      </c>
      <c r="AH354">
        <f t="shared" si="333"/>
        <v>28.43124108835892</v>
      </c>
      <c r="AI354">
        <f t="shared" si="334"/>
        <v>1.5356164942725914</v>
      </c>
      <c r="AJ354" t="str">
        <f t="shared" si="316"/>
        <v>1+0.541212368718787i</v>
      </c>
      <c r="AK354">
        <f t="shared" si="335"/>
        <v>1.1370623677064511</v>
      </c>
      <c r="AL354">
        <f t="shared" si="336"/>
        <v>0.49607144414028342</v>
      </c>
      <c r="AM354" t="str">
        <f t="shared" si="317"/>
        <v>1-0.0696843913167996i</v>
      </c>
      <c r="AN354">
        <f t="shared" si="337"/>
        <v>1.0024250168432514</v>
      </c>
      <c r="AO354">
        <f t="shared" si="338"/>
        <v>-6.9571924998564585E-2</v>
      </c>
      <c r="AP354" s="41" t="str">
        <f t="shared" si="339"/>
        <v>1.29108169415265-2.59491952458001i</v>
      </c>
      <c r="AQ354">
        <f t="shared" si="340"/>
        <v>9.243050989327017</v>
      </c>
      <c r="AR354" s="43">
        <f t="shared" si="341"/>
        <v>-63.547721661315258</v>
      </c>
      <c r="AS354" t="str">
        <f t="shared" si="318"/>
        <v>-0.0000166666666666667</v>
      </c>
      <c r="AT354" t="str">
        <f t="shared" si="319"/>
        <v>0.000489394163203158i</v>
      </c>
      <c r="AU354">
        <f t="shared" si="342"/>
        <v>4.89394163203158E-4</v>
      </c>
      <c r="AV354">
        <f t="shared" si="343"/>
        <v>1.5707963267948966</v>
      </c>
      <c r="AW354" t="str">
        <f t="shared" si="320"/>
        <v>1+0.488970811850908i</v>
      </c>
      <c r="AX354">
        <f t="shared" si="344"/>
        <v>1.1131452981718677</v>
      </c>
      <c r="AY354">
        <f t="shared" si="345"/>
        <v>0.45478539225240683</v>
      </c>
      <c r="AZ354" t="str">
        <f t="shared" si="321"/>
        <v>1+16.6250076029308i</v>
      </c>
      <c r="BA354">
        <f t="shared" si="346"/>
        <v>16.655055622768327</v>
      </c>
      <c r="BB354">
        <f t="shared" si="347"/>
        <v>1.5107183639022488</v>
      </c>
      <c r="BC354" s="41" t="str">
        <f t="shared" si="348"/>
        <v>-0.443489280647181+0.250909025585077i</v>
      </c>
      <c r="BD354">
        <f t="shared" si="349"/>
        <v>-5.8563160914186643</v>
      </c>
      <c r="BE354" s="43">
        <f t="shared" si="350"/>
        <v>150.50050272424323</v>
      </c>
      <c r="BF354" s="41" t="str">
        <f t="shared" si="351"/>
        <v>0.161348759472196+0.293271334637214i</v>
      </c>
      <c r="BG354" s="20">
        <f t="shared" si="352"/>
        <v>-9.5062109364794942</v>
      </c>
      <c r="BH354" s="43">
        <f t="shared" si="353"/>
        <v>61.181778246733828</v>
      </c>
      <c r="BI354" s="41" t="str">
        <f t="shared" si="306"/>
        <v>0.0785078375875591+1.47476304312389i</v>
      </c>
      <c r="BJ354" s="20">
        <f t="shared" si="354"/>
        <v>3.3867348979083789</v>
      </c>
      <c r="BK354" s="43">
        <f t="shared" si="307"/>
        <v>86.952781062927983</v>
      </c>
      <c r="BL354">
        <f t="shared" si="355"/>
        <v>-9.5062109364794942</v>
      </c>
      <c r="BM354" s="43">
        <f t="shared" si="356"/>
        <v>61.181778246733828</v>
      </c>
    </row>
    <row r="355" spans="14:65" x14ac:dyDescent="0.25">
      <c r="N355" s="9">
        <v>37</v>
      </c>
      <c r="O355" s="34">
        <f t="shared" si="308"/>
        <v>23442.288153199243</v>
      </c>
      <c r="P355" s="33" t="str">
        <f t="shared" si="309"/>
        <v>19.6196196196196</v>
      </c>
      <c r="Q355" s="4" t="str">
        <f t="shared" si="310"/>
        <v>1+35.653126260556i</v>
      </c>
      <c r="R355" s="4">
        <f t="shared" si="322"/>
        <v>35.667147519126729</v>
      </c>
      <c r="S355" s="4">
        <f t="shared" si="323"/>
        <v>1.5427556471160577</v>
      </c>
      <c r="T355" s="4" t="str">
        <f t="shared" si="311"/>
        <v>1+0.553818824245603i</v>
      </c>
      <c r="U355" s="4">
        <f t="shared" si="324"/>
        <v>1.1431164814176997</v>
      </c>
      <c r="V355" s="4">
        <f t="shared" si="325"/>
        <v>0.50577040110430782</v>
      </c>
      <c r="W355" t="str">
        <f t="shared" si="312"/>
        <v>1-0.322201776073739i</v>
      </c>
      <c r="X355" s="4">
        <f t="shared" si="326"/>
        <v>1.050625520585271</v>
      </c>
      <c r="Y355" s="4">
        <f t="shared" si="327"/>
        <v>-0.31169892317677245</v>
      </c>
      <c r="Z355" t="str">
        <f t="shared" si="313"/>
        <v>0.999450459126142+0.21567792357589i</v>
      </c>
      <c r="AA355" s="4">
        <f t="shared" si="328"/>
        <v>1.0224569364845952</v>
      </c>
      <c r="AB355" s="4">
        <f t="shared" si="329"/>
        <v>0.21253735581556801</v>
      </c>
      <c r="AC355" s="47" t="str">
        <f t="shared" si="330"/>
        <v>0.00618641098710504-0.646093994520935i</v>
      </c>
      <c r="AD355" s="20">
        <f t="shared" si="331"/>
        <v>-3.793687761146697</v>
      </c>
      <c r="AE355" s="43">
        <f t="shared" si="332"/>
        <v>-89.451404267712505</v>
      </c>
      <c r="AF355" t="str">
        <f t="shared" si="314"/>
        <v>72.2956529813786</v>
      </c>
      <c r="AG355" t="str">
        <f t="shared" si="315"/>
        <v>1+29.0754882728942i</v>
      </c>
      <c r="AH355">
        <f t="shared" si="333"/>
        <v>29.092679806219437</v>
      </c>
      <c r="AI355">
        <f t="shared" si="334"/>
        <v>1.5364166468354559</v>
      </c>
      <c r="AJ355" t="str">
        <f t="shared" si="316"/>
        <v>1+0.553818824245603i</v>
      </c>
      <c r="AK355">
        <f t="shared" si="335"/>
        <v>1.1431164814176997</v>
      </c>
      <c r="AL355">
        <f t="shared" si="336"/>
        <v>0.50577040110430782</v>
      </c>
      <c r="AM355" t="str">
        <f t="shared" si="317"/>
        <v>1-0.0713075493058309i</v>
      </c>
      <c r="AN355">
        <f t="shared" si="337"/>
        <v>1.0025391596281932</v>
      </c>
      <c r="AO355">
        <f t="shared" si="338"/>
        <v>-7.1187055953044823E-2</v>
      </c>
      <c r="AP355" s="41" t="str">
        <f t="shared" si="339"/>
        <v>1.28712800141109-2.54040741809371i</v>
      </c>
      <c r="AQ355">
        <f t="shared" si="340"/>
        <v>9.0904057865401171</v>
      </c>
      <c r="AR355" s="43">
        <f t="shared" si="341"/>
        <v>-63.130397913469153</v>
      </c>
      <c r="AS355" t="str">
        <f t="shared" si="318"/>
        <v>-0.0000166666666666667</v>
      </c>
      <c r="AT355" t="str">
        <f t="shared" si="319"/>
        <v>0.000500793617668895i</v>
      </c>
      <c r="AU355">
        <f t="shared" si="342"/>
        <v>5.0079361766889501E-4</v>
      </c>
      <c r="AV355">
        <f t="shared" si="343"/>
        <v>1.5707963267948966</v>
      </c>
      <c r="AW355" t="str">
        <f t="shared" si="320"/>
        <v>1+0.500360405196866i</v>
      </c>
      <c r="AX355">
        <f t="shared" si="344"/>
        <v>1.1181952133186637</v>
      </c>
      <c r="AY355">
        <f t="shared" si="345"/>
        <v>0.46393589159089421</v>
      </c>
      <c r="AZ355" t="str">
        <f t="shared" si="321"/>
        <v>1+17.0122537766934i</v>
      </c>
      <c r="BA355">
        <f t="shared" si="346"/>
        <v>17.041619012365544</v>
      </c>
      <c r="BB355">
        <f t="shared" si="347"/>
        <v>1.5120827281509401</v>
      </c>
      <c r="BC355" s="41" t="str">
        <f t="shared" si="348"/>
        <v>-0.439492615155416+0.253185212333056i</v>
      </c>
      <c r="BD355">
        <f t="shared" si="349"/>
        <v>-5.8963362551692349</v>
      </c>
      <c r="BE355" s="43">
        <f t="shared" si="350"/>
        <v>150.054390044879</v>
      </c>
      <c r="BF355" s="41" t="str">
        <f t="shared" si="351"/>
        <v>0.160862563246746+0.285519847067564i</v>
      </c>
      <c r="BG355" s="20">
        <f t="shared" si="352"/>
        <v>-9.6900240163159452</v>
      </c>
      <c r="BH355" s="43">
        <f t="shared" si="353"/>
        <v>60.602985777166516</v>
      </c>
      <c r="BI355" s="41" t="str">
        <f t="shared" si="306"/>
        <v>0.0775103401826026+1.44237207607531i</v>
      </c>
      <c r="BJ355" s="20">
        <f t="shared" si="354"/>
        <v>3.1940695313708742</v>
      </c>
      <c r="BK355" s="43">
        <f t="shared" si="307"/>
        <v>86.923992131409861</v>
      </c>
      <c r="BL355">
        <f t="shared" si="355"/>
        <v>-9.6900240163159452</v>
      </c>
      <c r="BM355" s="43">
        <f t="shared" si="356"/>
        <v>60.602985777166516</v>
      </c>
    </row>
    <row r="356" spans="14:65" x14ac:dyDescent="0.25">
      <c r="N356" s="9">
        <v>38</v>
      </c>
      <c r="O356" s="34">
        <f t="shared" si="308"/>
        <v>23988.329190194923</v>
      </c>
      <c r="P356" s="33" t="str">
        <f t="shared" si="309"/>
        <v>19.6196196196196</v>
      </c>
      <c r="Q356" s="4" t="str">
        <f t="shared" si="310"/>
        <v>1+36.4835942553277i</v>
      </c>
      <c r="R356" s="4">
        <f t="shared" si="322"/>
        <v>36.497296472305727</v>
      </c>
      <c r="S356" s="4">
        <f t="shared" si="323"/>
        <v>1.5433936077133348</v>
      </c>
      <c r="T356" s="4" t="str">
        <f t="shared" si="311"/>
        <v>1+0.56671892184369i</v>
      </c>
      <c r="U356" s="4">
        <f t="shared" si="324"/>
        <v>1.1494217399961053</v>
      </c>
      <c r="V356" s="4">
        <f t="shared" si="325"/>
        <v>0.51558856053316027</v>
      </c>
      <c r="W356" t="str">
        <f t="shared" si="312"/>
        <v>1-0.329706819556669i</v>
      </c>
      <c r="X356" s="4">
        <f t="shared" si="326"/>
        <v>1.0529513696568205</v>
      </c>
      <c r="Y356" s="4">
        <f t="shared" si="327"/>
        <v>-0.31848314882518902</v>
      </c>
      <c r="Z356" t="str">
        <f t="shared" si="313"/>
        <v>0.999424560062663+0.220701707784872i</v>
      </c>
      <c r="AA356" s="4">
        <f t="shared" si="328"/>
        <v>1.0235031485421071</v>
      </c>
      <c r="AB356" s="4">
        <f t="shared" si="329"/>
        <v>0.21734068765490847</v>
      </c>
      <c r="AC356" s="47" t="str">
        <f t="shared" si="330"/>
        <v>0.00455605505268505-0.635648856724913i</v>
      </c>
      <c r="AD356" s="20">
        <f t="shared" si="331"/>
        <v>-3.9354314871389757</v>
      </c>
      <c r="AE356" s="43">
        <f t="shared" si="332"/>
        <v>-89.589335758485987</v>
      </c>
      <c r="AF356" t="str">
        <f t="shared" si="314"/>
        <v>72.2956529813786</v>
      </c>
      <c r="AG356" t="str">
        <f t="shared" si="315"/>
        <v>1+29.7527433967938i</v>
      </c>
      <c r="AH356">
        <f t="shared" si="333"/>
        <v>29.7695438264589</v>
      </c>
      <c r="AI356">
        <f t="shared" si="334"/>
        <v>1.537198628259973</v>
      </c>
      <c r="AJ356" t="str">
        <f t="shared" si="316"/>
        <v>1+0.56671892184369i</v>
      </c>
      <c r="AK356">
        <f t="shared" si="335"/>
        <v>1.1494217399961053</v>
      </c>
      <c r="AL356">
        <f t="shared" si="336"/>
        <v>0.51558856053316027</v>
      </c>
      <c r="AM356" t="str">
        <f t="shared" si="317"/>
        <v>1-0.0729685155013709i</v>
      </c>
      <c r="AN356">
        <f t="shared" si="337"/>
        <v>1.0026586678698159</v>
      </c>
      <c r="AO356">
        <f t="shared" si="338"/>
        <v>-7.2839423030609737E-2</v>
      </c>
      <c r="AP356" s="41" t="str">
        <f t="shared" si="339"/>
        <v>1.28335184311206-2.48723003957651i</v>
      </c>
      <c r="AQ356">
        <f t="shared" si="340"/>
        <v>8.9394504905992314</v>
      </c>
      <c r="AR356" s="43">
        <f t="shared" si="341"/>
        <v>-62.70733671064248</v>
      </c>
      <c r="AS356" t="str">
        <f t="shared" si="318"/>
        <v>-0.0000166666666666667</v>
      </c>
      <c r="AT356" t="str">
        <f t="shared" si="319"/>
        <v>0.000512458599539508i</v>
      </c>
      <c r="AU356">
        <f t="shared" si="342"/>
        <v>5.1245859953950802E-4</v>
      </c>
      <c r="AV356">
        <f t="shared" si="343"/>
        <v>1.5707963267948966</v>
      </c>
      <c r="AW356" t="str">
        <f t="shared" si="320"/>
        <v>1+0.51201529625271i</v>
      </c>
      <c r="AX356">
        <f t="shared" si="344"/>
        <v>1.1234587947925596</v>
      </c>
      <c r="AY356">
        <f t="shared" si="345"/>
        <v>0.4732135776243247</v>
      </c>
      <c r="AZ356" t="str">
        <f t="shared" si="321"/>
        <v>1+17.4085200725921i</v>
      </c>
      <c r="BA356">
        <f t="shared" si="346"/>
        <v>17.437217986761592</v>
      </c>
      <c r="BB356">
        <f t="shared" si="347"/>
        <v>1.5134162471739629</v>
      </c>
      <c r="BC356" s="41" t="str">
        <f t="shared" si="348"/>
        <v>-0.435384078023314+0.255446260145259i</v>
      </c>
      <c r="BD356">
        <f t="shared" si="349"/>
        <v>-5.9377997473641173</v>
      </c>
      <c r="BE356" s="43">
        <f t="shared" si="350"/>
        <v>149.59922280343568</v>
      </c>
      <c r="BF356" s="41" t="str">
        <f t="shared" si="351"/>
        <v>0.160390489387452+0.277915218655974i</v>
      </c>
      <c r="BG356" s="20">
        <f t="shared" si="352"/>
        <v>-9.873231234503093</v>
      </c>
      <c r="BH356" s="43">
        <f t="shared" si="353"/>
        <v>60.009887044949643</v>
      </c>
      <c r="BI356" s="41" t="str">
        <f t="shared" si="306"/>
        <v>0.076602652737899+1.41072778638641i</v>
      </c>
      <c r="BJ356" s="20">
        <f t="shared" si="354"/>
        <v>3.0016507432351132</v>
      </c>
      <c r="BK356" s="43">
        <f t="shared" si="307"/>
        <v>86.891886092793186</v>
      </c>
      <c r="BL356">
        <f t="shared" si="355"/>
        <v>-9.873231234503093</v>
      </c>
      <c r="BM356" s="43">
        <f t="shared" si="356"/>
        <v>60.009887044949643</v>
      </c>
    </row>
    <row r="357" spans="14:65" x14ac:dyDescent="0.25">
      <c r="N357" s="9">
        <v>39</v>
      </c>
      <c r="O357" s="34">
        <f t="shared" si="308"/>
        <v>24547.089156850321</v>
      </c>
      <c r="P357" s="33" t="str">
        <f t="shared" si="309"/>
        <v>19.6196196196196</v>
      </c>
      <c r="Q357" s="4" t="str">
        <f t="shared" si="310"/>
        <v>1+37.3334063346912i</v>
      </c>
      <c r="R357" s="4">
        <f t="shared" si="322"/>
        <v>37.34679676426294</v>
      </c>
      <c r="S357" s="4">
        <f t="shared" si="323"/>
        <v>1.5440170681140883</v>
      </c>
      <c r="T357" s="4" t="str">
        <f t="shared" si="311"/>
        <v>1+0.579919501315551i</v>
      </c>
      <c r="U357" s="4">
        <f t="shared" si="324"/>
        <v>1.155987295780571</v>
      </c>
      <c r="V357" s="4">
        <f t="shared" si="325"/>
        <v>0.52552355597543687</v>
      </c>
      <c r="W357" t="str">
        <f t="shared" si="312"/>
        <v>1-0.337386677959514i</v>
      </c>
      <c r="X357" s="4">
        <f t="shared" si="326"/>
        <v>1.055381338883987</v>
      </c>
      <c r="Y357" s="4">
        <f t="shared" si="327"/>
        <v>-0.3253941178315905</v>
      </c>
      <c r="Z357" t="str">
        <f t="shared" si="313"/>
        <v>0.999397440413926+0.225842510960654i</v>
      </c>
      <c r="AA357" s="4">
        <f t="shared" si="328"/>
        <v>1.0245975227682915</v>
      </c>
      <c r="AB357" s="4">
        <f t="shared" si="329"/>
        <v>0.22224576533755408</v>
      </c>
      <c r="AC357" s="47" t="str">
        <f t="shared" si="330"/>
        <v>0.00291678122549967-0.625520682374972i</v>
      </c>
      <c r="AD357" s="20">
        <f t="shared" si="331"/>
        <v>-4.0750720935109506</v>
      </c>
      <c r="AE357" s="43">
        <f t="shared" si="332"/>
        <v>-89.732833705630469</v>
      </c>
      <c r="AF357" t="str">
        <f t="shared" si="314"/>
        <v>72.2956529813786</v>
      </c>
      <c r="AG357" t="str">
        <f t="shared" si="315"/>
        <v>1+30.4457738190665i</v>
      </c>
      <c r="AH357">
        <f t="shared" si="333"/>
        <v>30.462192032776549</v>
      </c>
      <c r="AI357">
        <f t="shared" si="334"/>
        <v>1.5379628493354374</v>
      </c>
      <c r="AJ357" t="str">
        <f t="shared" si="316"/>
        <v>1+0.579919501315551i</v>
      </c>
      <c r="AK357">
        <f t="shared" si="335"/>
        <v>1.155987295780571</v>
      </c>
      <c r="AL357">
        <f t="shared" si="336"/>
        <v>0.52552355597543687</v>
      </c>
      <c r="AM357" t="str">
        <f t="shared" si="317"/>
        <v>1-0.0746681705696823i</v>
      </c>
      <c r="AN357">
        <f t="shared" si="337"/>
        <v>1.0027837930961105</v>
      </c>
      <c r="AO357">
        <f t="shared" si="338"/>
        <v>-7.4529866226027267E-2</v>
      </c>
      <c r="AP357" s="41" t="str">
        <f t="shared" si="339"/>
        <v>1.27974526499691-2.43536000813408i</v>
      </c>
      <c r="AQ357">
        <f t="shared" si="340"/>
        <v>8.7902280129752892</v>
      </c>
      <c r="AR357" s="43">
        <f t="shared" si="341"/>
        <v>-62.278745305161365</v>
      </c>
      <c r="AS357" t="str">
        <f t="shared" si="318"/>
        <v>-0.0000166666666666667</v>
      </c>
      <c r="AT357" t="str">
        <f t="shared" si="319"/>
        <v>0.000524395293742788i</v>
      </c>
      <c r="AU357">
        <f t="shared" si="342"/>
        <v>5.24395293742788E-4</v>
      </c>
      <c r="AV357">
        <f t="shared" si="343"/>
        <v>1.5707963267948966</v>
      </c>
      <c r="AW357" t="str">
        <f t="shared" si="320"/>
        <v>1+0.523941664595951i</v>
      </c>
      <c r="AX357">
        <f t="shared" si="344"/>
        <v>1.1289441385204035</v>
      </c>
      <c r="AY357">
        <f t="shared" si="345"/>
        <v>0.48261697993648611</v>
      </c>
      <c r="AZ357" t="str">
        <f t="shared" si="321"/>
        <v>1+17.8140165962623i</v>
      </c>
      <c r="BA357">
        <f t="shared" si="346"/>
        <v>17.842062304899301</v>
      </c>
      <c r="BB357">
        <f t="shared" si="347"/>
        <v>1.5147196090391375</v>
      </c>
      <c r="BC357" s="41" t="str">
        <f t="shared" si="348"/>
        <v>-0.431163445240079+0.257687132883912i</v>
      </c>
      <c r="BD357">
        <f t="shared" si="349"/>
        <v>-5.9807487447593131</v>
      </c>
      <c r="BE357" s="43">
        <f t="shared" si="350"/>
        <v>149.13512467193803</v>
      </c>
      <c r="BF357" s="41" t="str">
        <f t="shared" si="351"/>
        <v>0.159931021758597+0.270453269472967i</v>
      </c>
      <c r="BG357" s="20">
        <f t="shared" si="352"/>
        <v>-10.05582083827025</v>
      </c>
      <c r="BH357" s="43">
        <f t="shared" si="353"/>
        <v>59.402290966307525</v>
      </c>
      <c r="BI357" s="41" t="str">
        <f t="shared" si="306"/>
        <v>0.0757815605504659+1.37981209966581i</v>
      </c>
      <c r="BJ357" s="20">
        <f t="shared" si="354"/>
        <v>2.8094792682159597</v>
      </c>
      <c r="BK357" s="43">
        <f t="shared" si="307"/>
        <v>86.85637936677665</v>
      </c>
      <c r="BL357">
        <f t="shared" si="355"/>
        <v>-10.05582083827025</v>
      </c>
      <c r="BM357" s="43">
        <f t="shared" si="356"/>
        <v>59.402290966307525</v>
      </c>
    </row>
    <row r="358" spans="14:65" x14ac:dyDescent="0.25">
      <c r="N358" s="9">
        <v>40</v>
      </c>
      <c r="O358" s="34">
        <f t="shared" si="308"/>
        <v>25118.86431509586</v>
      </c>
      <c r="P358" s="33" t="str">
        <f t="shared" si="309"/>
        <v>19.6196196196196</v>
      </c>
      <c r="Q358" s="4" t="str">
        <f t="shared" si="310"/>
        <v>1+38.2030130802595i</v>
      </c>
      <c r="R358" s="4">
        <f t="shared" si="322"/>
        <v>38.216098812025258</v>
      </c>
      <c r="S358" s="4">
        <f t="shared" si="323"/>
        <v>1.5446263569454388</v>
      </c>
      <c r="T358" s="4" t="str">
        <f t="shared" si="311"/>
        <v>1+0.593427561783156i</v>
      </c>
      <c r="U358" s="4">
        <f t="shared" si="324"/>
        <v>1.1628225449671594</v>
      </c>
      <c r="V358" s="4">
        <f t="shared" si="325"/>
        <v>0.53557280946234442</v>
      </c>
      <c r="W358" t="str">
        <f t="shared" si="312"/>
        <v>1-0.345245423244855i</v>
      </c>
      <c r="X358" s="4">
        <f t="shared" si="326"/>
        <v>1.057919846808594</v>
      </c>
      <c r="Y358" s="4">
        <f t="shared" si="327"/>
        <v>-0.33243285297163877</v>
      </c>
      <c r="Z358" t="str">
        <f t="shared" si="313"/>
        <v>0.99936904265552+0.231103058825127i</v>
      </c>
      <c r="AA358" s="4">
        <f t="shared" si="328"/>
        <v>1.025742222596175</v>
      </c>
      <c r="AB358" s="4">
        <f t="shared" si="329"/>
        <v>0.22725428011237708</v>
      </c>
      <c r="AC358" s="47" t="str">
        <f t="shared" si="330"/>
        <v>0.00126566939023732-0.61570302825301i</v>
      </c>
      <c r="AD358" s="20">
        <f t="shared" si="331"/>
        <v>-4.2125558557645091</v>
      </c>
      <c r="AE358" s="43">
        <f t="shared" si="332"/>
        <v>-89.882220146975854</v>
      </c>
      <c r="AF358" t="str">
        <f t="shared" si="314"/>
        <v>72.2956529813786</v>
      </c>
      <c r="AG358" t="str">
        <f t="shared" si="315"/>
        <v>1+31.1549469936157i</v>
      </c>
      <c r="AH358">
        <f t="shared" si="333"/>
        <v>31.170991677760334</v>
      </c>
      <c r="AI358">
        <f t="shared" si="334"/>
        <v>1.5387097116892903</v>
      </c>
      <c r="AJ358" t="str">
        <f t="shared" si="316"/>
        <v>1+0.593427561783156i</v>
      </c>
      <c r="AK358">
        <f t="shared" si="335"/>
        <v>1.1628225449671594</v>
      </c>
      <c r="AL358">
        <f t="shared" si="336"/>
        <v>0.53557280946234442</v>
      </c>
      <c r="AM358" t="str">
        <f t="shared" si="317"/>
        <v>1-0.0764074156903802i</v>
      </c>
      <c r="AN358">
        <f t="shared" si="337"/>
        <v>1.0029147985609159</v>
      </c>
      <c r="AO358">
        <f t="shared" si="338"/>
        <v>-7.6259243168147264E-2</v>
      </c>
      <c r="AP358" s="41" t="str">
        <f t="shared" si="339"/>
        <v>1.27630066763826-2.38477058188123i</v>
      </c>
      <c r="AQ358">
        <f t="shared" si="340"/>
        <v>8.642780968583601</v>
      </c>
      <c r="AR358" s="43">
        <f t="shared" si="341"/>
        <v>-61.844843553828156</v>
      </c>
      <c r="AS358" t="str">
        <f t="shared" si="318"/>
        <v>-0.0000166666666666667</v>
      </c>
      <c r="AT358" t="str">
        <f t="shared" si="319"/>
        <v>0.000536610029272003i</v>
      </c>
      <c r="AU358">
        <f t="shared" si="342"/>
        <v>5.3661002927200298E-4</v>
      </c>
      <c r="AV358">
        <f t="shared" si="343"/>
        <v>1.5707963267948966</v>
      </c>
      <c r="AW358" t="str">
        <f t="shared" si="320"/>
        <v>1+0.536145833744952i</v>
      </c>
      <c r="AX358">
        <f t="shared" si="344"/>
        <v>1.1346595767198502</v>
      </c>
      <c r="AY358">
        <f t="shared" si="345"/>
        <v>0.49214443156673127</v>
      </c>
      <c r="AZ358" t="str">
        <f t="shared" si="321"/>
        <v>1+18.2289583473283i</v>
      </c>
      <c r="BA358">
        <f t="shared" si="346"/>
        <v>18.256366627251715</v>
      </c>
      <c r="BB358">
        <f t="shared" si="347"/>
        <v>1.5159934870834417</v>
      </c>
      <c r="BC358" s="41" t="str">
        <f t="shared" si="348"/>
        <v>-0.426830724493359+0.259902693119061i</v>
      </c>
      <c r="BD358">
        <f t="shared" si="349"/>
        <v>-6.0252254010753248</v>
      </c>
      <c r="BE358" s="43">
        <f t="shared" si="350"/>
        <v>148.66222973956297</v>
      </c>
      <c r="BF358" s="41" t="str">
        <f t="shared" si="351"/>
        <v>0.159482648621715+0.263129920505108i</v>
      </c>
      <c r="BG358" s="20">
        <f t="shared" si="352"/>
        <v>-10.23778125683984</v>
      </c>
      <c r="BH358" s="43">
        <f t="shared" si="353"/>
        <v>58.780009592587007</v>
      </c>
      <c r="BI358" s="41" t="str">
        <f t="shared" si="306"/>
        <v>0.0750439580626455+1.34960733596365i</v>
      </c>
      <c r="BJ358" s="20">
        <f t="shared" si="354"/>
        <v>2.6175555675082469</v>
      </c>
      <c r="BK358" s="43">
        <f t="shared" si="307"/>
        <v>86.817386185734819</v>
      </c>
      <c r="BL358">
        <f t="shared" si="355"/>
        <v>-10.23778125683984</v>
      </c>
      <c r="BM358" s="43">
        <f t="shared" si="356"/>
        <v>58.780009592587007</v>
      </c>
    </row>
    <row r="359" spans="14:65" x14ac:dyDescent="0.25">
      <c r="N359" s="9">
        <v>41</v>
      </c>
      <c r="O359" s="34">
        <f t="shared" si="308"/>
        <v>25703.95782768865</v>
      </c>
      <c r="P359" s="33" t="str">
        <f t="shared" si="309"/>
        <v>19.6196196196196</v>
      </c>
      <c r="Q359" s="4" t="str">
        <f t="shared" si="310"/>
        <v>1+39.0928755690395i</v>
      </c>
      <c r="R359" s="4">
        <f t="shared" si="322"/>
        <v>39.105663531723962</v>
      </c>
      <c r="S359" s="4">
        <f t="shared" si="323"/>
        <v>1.5452217954498488</v>
      </c>
      <c r="T359" s="4" t="str">
        <f t="shared" si="311"/>
        <v>1+0.607250265398956i</v>
      </c>
      <c r="U359" s="4">
        <f t="shared" si="324"/>
        <v>1.169937128578755</v>
      </c>
      <c r="V359" s="4">
        <f t="shared" si="325"/>
        <v>0.54573352988621959</v>
      </c>
      <c r="W359" t="str">
        <f t="shared" si="312"/>
        <v>1-0.353287222223462i</v>
      </c>
      <c r="X359" s="4">
        <f t="shared" si="326"/>
        <v>1.060571478678533</v>
      </c>
      <c r="Y359" s="4">
        <f t="shared" si="327"/>
        <v>-0.33960029555960541</v>
      </c>
      <c r="Z359" t="str">
        <f t="shared" si="313"/>
        <v>0.999339306551992+0.236486140590399i</v>
      </c>
      <c r="AA359" s="4">
        <f t="shared" si="328"/>
        <v>1.0269395037251017</v>
      </c>
      <c r="AB359" s="4">
        <f t="shared" si="329"/>
        <v>0.23236791939731713</v>
      </c>
      <c r="AC359" s="47" t="str">
        <f t="shared" si="330"/>
        <v>-0.000400178339710926-0.606189537414796i</v>
      </c>
      <c r="AD359" s="20">
        <f t="shared" si="331"/>
        <v>-4.3478293803332111</v>
      </c>
      <c r="AE359" s="43">
        <f t="shared" si="332"/>
        <v>-90.03782402230992</v>
      </c>
      <c r="AF359" t="str">
        <f t="shared" si="314"/>
        <v>72.2956529813786</v>
      </c>
      <c r="AG359" t="str">
        <f t="shared" si="315"/>
        <v>1+31.8806389334452i</v>
      </c>
      <c r="AH359">
        <f t="shared" si="333"/>
        <v>31.896318577614913</v>
      </c>
      <c r="AI359">
        <f t="shared" si="334"/>
        <v>1.5394396079831134</v>
      </c>
      <c r="AJ359" t="str">
        <f t="shared" si="316"/>
        <v>1+0.607250265398956i</v>
      </c>
      <c r="AK359">
        <f t="shared" si="335"/>
        <v>1.169937128578755</v>
      </c>
      <c r="AL359">
        <f t="shared" si="336"/>
        <v>0.54573352988621959</v>
      </c>
      <c r="AM359" t="str">
        <f t="shared" si="317"/>
        <v>1-0.0781871730342484i</v>
      </c>
      <c r="AN359">
        <f t="shared" si="337"/>
        <v>1.0030519597842813</v>
      </c>
      <c r="AO359">
        <f t="shared" si="338"/>
        <v>-7.8028429395364585E-2</v>
      </c>
      <c r="AP359" s="41" t="str">
        <f t="shared" si="339"/>
        <v>1.27301079074782-2.33543564735676i</v>
      </c>
      <c r="AQ359">
        <f t="shared" si="340"/>
        <v>8.4971515769092569</v>
      </c>
      <c r="AR359" s="43">
        <f t="shared" si="341"/>
        <v>-61.405864037838263</v>
      </c>
      <c r="AS359" t="str">
        <f t="shared" si="318"/>
        <v>-0.0000166666666666667</v>
      </c>
      <c r="AT359" t="str">
        <f t="shared" si="319"/>
        <v>0.00054910928254161i</v>
      </c>
      <c r="AU359">
        <f t="shared" si="342"/>
        <v>5.4910928254161E-4</v>
      </c>
      <c r="AV359">
        <f t="shared" si="343"/>
        <v>1.5707963267948966</v>
      </c>
      <c r="AW359" t="str">
        <f t="shared" si="320"/>
        <v>1+0.54863427451173i</v>
      </c>
      <c r="AX359">
        <f t="shared" si="344"/>
        <v>1.1406136800727107</v>
      </c>
      <c r="AY359">
        <f t="shared" si="345"/>
        <v>0.50179406463043796</v>
      </c>
      <c r="AZ359" t="str">
        <f t="shared" si="321"/>
        <v>1+18.6535653333988i</v>
      </c>
      <c r="BA359">
        <f t="shared" si="346"/>
        <v>18.680350629669064</v>
      </c>
      <c r="BB359">
        <f t="shared" si="347"/>
        <v>1.5172385401868691</v>
      </c>
      <c r="BC359" s="41" t="str">
        <f t="shared" si="348"/>
        <v>-0.422386167774873+0.262087713971812i</v>
      </c>
      <c r="BD359">
        <f t="shared" si="349"/>
        <v>-6.0712717631153428</v>
      </c>
      <c r="BE359" s="43">
        <f t="shared" si="350"/>
        <v>148.18068277925875</v>
      </c>
      <c r="BF359" s="41" t="str">
        <f t="shared" si="351"/>
        <v>0.159043859890011+0.255941193827623i</v>
      </c>
      <c r="BG359" s="20">
        <f t="shared" si="352"/>
        <v>-10.41910114344855</v>
      </c>
      <c r="BH359" s="43">
        <f t="shared" si="353"/>
        <v>58.142858756948876</v>
      </c>
      <c r="BI359" s="41" t="str">
        <f t="shared" si="306"/>
        <v>0.0743868405039797+1.3200962011804i</v>
      </c>
      <c r="BJ359" s="20">
        <f t="shared" si="354"/>
        <v>2.4258798137939386</v>
      </c>
      <c r="BK359" s="43">
        <f t="shared" si="307"/>
        <v>86.774818741420503</v>
      </c>
      <c r="BL359">
        <f t="shared" si="355"/>
        <v>-10.41910114344855</v>
      </c>
      <c r="BM359" s="43">
        <f t="shared" si="356"/>
        <v>58.142858756948876</v>
      </c>
    </row>
    <row r="360" spans="14:65" x14ac:dyDescent="0.25">
      <c r="N360" s="9">
        <v>42</v>
      </c>
      <c r="O360" s="34">
        <f t="shared" si="308"/>
        <v>26302.679918953829</v>
      </c>
      <c r="P360" s="33" t="str">
        <f t="shared" si="309"/>
        <v>19.6196196196196</v>
      </c>
      <c r="Q360" s="4" t="str">
        <f t="shared" si="310"/>
        <v>1+40.0034656179015i</v>
      </c>
      <c r="R360" s="4">
        <f t="shared" si="322"/>
        <v>40.015962582982155</v>
      </c>
      <c r="S360" s="4">
        <f t="shared" si="323"/>
        <v>1.5458036976468399</v>
      </c>
      <c r="T360" s="4" t="str">
        <f t="shared" si="311"/>
        <v>1+0.621394941143379i</v>
      </c>
      <c r="U360" s="4">
        <f t="shared" si="324"/>
        <v>1.1773409331534275</v>
      </c>
      <c r="V360" s="4">
        <f t="shared" si="325"/>
        <v>0.55600271214606023</v>
      </c>
      <c r="W360" t="str">
        <f t="shared" si="312"/>
        <v>1-0.361516338763602i</v>
      </c>
      <c r="X360" s="4">
        <f t="shared" si="326"/>
        <v>1.0633409910245346</v>
      </c>
      <c r="Y360" s="4">
        <f t="shared" si="327"/>
        <v>-0.34689729927299301</v>
      </c>
      <c r="Z360" t="str">
        <f t="shared" si="313"/>
        <v>0.999308169029081+0.241994610437676i</v>
      </c>
      <c r="AA360" s="4">
        <f t="shared" si="328"/>
        <v>1.0281917176135671</v>
      </c>
      <c r="AB360" s="4">
        <f t="shared" si="329"/>
        <v>0.23758836419145946</v>
      </c>
      <c r="AC360" s="47" t="str">
        <f t="shared" si="330"/>
        <v>-0.00208363981392958-0.596973932785498i</v>
      </c>
      <c r="AD360" s="20">
        <f t="shared" si="331"/>
        <v>-4.4808397361864074</v>
      </c>
      <c r="AE360" s="43">
        <f t="shared" si="332"/>
        <v>-90.199980729501164</v>
      </c>
      <c r="AF360" t="str">
        <f t="shared" si="314"/>
        <v>72.2956529813786</v>
      </c>
      <c r="AG360" t="str">
        <f t="shared" si="315"/>
        <v>1+32.6232344100274i</v>
      </c>
      <c r="AH360">
        <f t="shared" si="333"/>
        <v>32.638557311431455</v>
      </c>
      <c r="AI360">
        <f t="shared" si="334"/>
        <v>1.5401529221049941</v>
      </c>
      <c r="AJ360" t="str">
        <f t="shared" si="316"/>
        <v>1+0.621394941143379i</v>
      </c>
      <c r="AK360">
        <f t="shared" si="335"/>
        <v>1.1773409331534275</v>
      </c>
      <c r="AL360">
        <f t="shared" si="336"/>
        <v>0.55600271214606023</v>
      </c>
      <c r="AM360" t="str">
        <f t="shared" si="317"/>
        <v>1-0.080008386252189i</v>
      </c>
      <c r="AN360">
        <f t="shared" si="337"/>
        <v>1.0031955651171307</v>
      </c>
      <c r="AO360">
        <f t="shared" si="338"/>
        <v>-7.9838318628173588E-2</v>
      </c>
      <c r="AP360" s="41" t="str">
        <f t="shared" si="339"/>
        <v>1.26986869816617-2.28732970903388i</v>
      </c>
      <c r="AQ360">
        <f t="shared" si="340"/>
        <v>8.3533815602223491</v>
      </c>
      <c r="AR360" s="43">
        <f t="shared" si="341"/>
        <v>-60.962052138375896</v>
      </c>
      <c r="AS360" t="str">
        <f t="shared" si="318"/>
        <v>-0.0000166666666666667</v>
      </c>
      <c r="AT360" t="str">
        <f t="shared" si="319"/>
        <v>0.000561899680821142i</v>
      </c>
      <c r="AU360">
        <f t="shared" si="342"/>
        <v>5.6189968082114201E-4</v>
      </c>
      <c r="AV360">
        <f t="shared" si="343"/>
        <v>1.5707963267948966</v>
      </c>
      <c r="AW360" t="str">
        <f t="shared" si="320"/>
        <v>1+0.561413608432888i</v>
      </c>
      <c r="AX360">
        <f t="shared" si="344"/>
        <v>1.1468152596358474</v>
      </c>
      <c r="AY360">
        <f t="shared" si="345"/>
        <v>0.5115638064721979</v>
      </c>
      <c r="AZ360" t="str">
        <f t="shared" si="321"/>
        <v>1+19.0880626867182i</v>
      </c>
      <c r="BA360">
        <f t="shared" si="346"/>
        <v>19.114239119883468</v>
      </c>
      <c r="BB360">
        <f t="shared" si="347"/>
        <v>1.5184554130440799</v>
      </c>
      <c r="BC360" s="41" t="str">
        <f t="shared" si="348"/>
        <v>-0.417830283409038+0.264236892285686i</v>
      </c>
      <c r="BD360">
        <f t="shared" si="349"/>
        <v>-6.1189296822783756</v>
      </c>
      <c r="BE360" s="43">
        <f t="shared" si="350"/>
        <v>147.6906394837157</v>
      </c>
      <c r="BF360" s="41" t="str">
        <f t="shared" si="351"/>
        <v>0.158613144588781+0.248883213014497i</v>
      </c>
      <c r="BG360" s="20">
        <f t="shared" si="352"/>
        <v>-10.599769418464781</v>
      </c>
      <c r="BH360" s="43">
        <f t="shared" si="353"/>
        <v>57.490658754214444</v>
      </c>
      <c r="BI360" s="41" t="str">
        <f t="shared" si="306"/>
        <v>0.0738072959007978+1.29126177898984i</v>
      </c>
      <c r="BJ360" s="20">
        <f t="shared" si="354"/>
        <v>2.234451877943993</v>
      </c>
      <c r="BK360" s="43">
        <f t="shared" si="307"/>
        <v>86.728587345339832</v>
      </c>
      <c r="BL360">
        <f t="shared" si="355"/>
        <v>-10.599769418464781</v>
      </c>
      <c r="BM360" s="43">
        <f t="shared" si="356"/>
        <v>57.490658754214444</v>
      </c>
    </row>
    <row r="361" spans="14:65" x14ac:dyDescent="0.25">
      <c r="N361" s="9">
        <v>43</v>
      </c>
      <c r="O361" s="34">
        <f t="shared" si="308"/>
        <v>26915.348039269167</v>
      </c>
      <c r="P361" s="33" t="str">
        <f t="shared" si="309"/>
        <v>19.6196196196196</v>
      </c>
      <c r="Q361" s="4" t="str">
        <f t="shared" si="310"/>
        <v>1+40.9352660337428i</v>
      </c>
      <c r="R361" s="4">
        <f t="shared" si="322"/>
        <v>40.947478618997984</v>
      </c>
      <c r="S361" s="4">
        <f t="shared" si="323"/>
        <v>1.5463723704914527</v>
      </c>
      <c r="T361" s="4" t="str">
        <f t="shared" si="311"/>
        <v>1+0.635869088710732i</v>
      </c>
      <c r="U361" s="4">
        <f t="shared" si="324"/>
        <v>1.1850440911534965</v>
      </c>
      <c r="V361" s="4">
        <f t="shared" si="325"/>
        <v>0.56637713710697302</v>
      </c>
      <c r="W361" t="str">
        <f t="shared" si="312"/>
        <v>1-0.36993713605179i</v>
      </c>
      <c r="X361" s="4">
        <f t="shared" si="326"/>
        <v>1.0662333162259565</v>
      </c>
      <c r="Y361" s="4">
        <f t="shared" si="327"/>
        <v>-0.35432462381664215</v>
      </c>
      <c r="Z361" t="str">
        <f t="shared" si="313"/>
        <v>0.999275564039925+0.247631389030586i</v>
      </c>
      <c r="AA361" s="4">
        <f t="shared" si="328"/>
        <v>1.0295013150649823</v>
      </c>
      <c r="AB361" s="4">
        <f t="shared" si="329"/>
        <v>0.24291728631143925</v>
      </c>
      <c r="AC361" s="47" t="str">
        <f t="shared" si="330"/>
        <v>-0.0037875747143972-0.588050010665593i</v>
      </c>
      <c r="AD361" s="20">
        <f t="shared" si="331"/>
        <v>-4.6115345917931334</v>
      </c>
      <c r="AE361" s="43">
        <f t="shared" si="332"/>
        <v>-90.369031614539466</v>
      </c>
      <c r="AF361" t="str">
        <f t="shared" si="314"/>
        <v>72.2956529813786</v>
      </c>
      <c r="AG361" t="str">
        <f t="shared" si="315"/>
        <v>1+33.3831271573135i</v>
      </c>
      <c r="AH361">
        <f t="shared" si="333"/>
        <v>33.398101425101437</v>
      </c>
      <c r="AI361">
        <f t="shared" si="334"/>
        <v>1.5408500293582903</v>
      </c>
      <c r="AJ361" t="str">
        <f t="shared" si="316"/>
        <v>1+0.635869088710732i</v>
      </c>
      <c r="AK361">
        <f t="shared" si="335"/>
        <v>1.1850440911534965</v>
      </c>
      <c r="AL361">
        <f t="shared" si="336"/>
        <v>0.56637713710697302</v>
      </c>
      <c r="AM361" t="str">
        <f t="shared" si="317"/>
        <v>1-0.081872020975557i</v>
      </c>
      <c r="AN361">
        <f t="shared" si="337"/>
        <v>1.003345916331263</v>
      </c>
      <c r="AO361">
        <f t="shared" si="338"/>
        <v>-8.1689823038112411E-2</v>
      </c>
      <c r="AP361" s="41" t="str">
        <f t="shared" si="339"/>
        <v>1.26686776350593-2.24042787893643i</v>
      </c>
      <c r="AQ361">
        <f t="shared" si="340"/>
        <v>8.2115120393590662</v>
      </c>
      <c r="AR361" s="43">
        <f t="shared" si="341"/>
        <v>-60.513666065161559</v>
      </c>
      <c r="AS361" t="str">
        <f t="shared" si="318"/>
        <v>-0.0000166666666666667</v>
      </c>
      <c r="AT361" t="str">
        <f t="shared" si="319"/>
        <v>0.000574988005749067i</v>
      </c>
      <c r="AU361">
        <f t="shared" si="342"/>
        <v>5.7498800574906704E-4</v>
      </c>
      <c r="AV361">
        <f t="shared" si="343"/>
        <v>1.5707963267948966</v>
      </c>
      <c r="AW361" t="str">
        <f t="shared" si="320"/>
        <v>1+0.574490611280427i</v>
      </c>
      <c r="AX361">
        <f t="shared" si="344"/>
        <v>1.1532733684818004</v>
      </c>
      <c r="AY361">
        <f t="shared" si="345"/>
        <v>0.52145137640697614</v>
      </c>
      <c r="AZ361" t="str">
        <f t="shared" si="321"/>
        <v>1+19.5326807835345i</v>
      </c>
      <c r="BA361">
        <f t="shared" si="346"/>
        <v>19.558262156732074</v>
      </c>
      <c r="BB361">
        <f t="shared" si="347"/>
        <v>1.5196447364336321</v>
      </c>
      <c r="BC361" s="41" t="str">
        <f t="shared" si="348"/>
        <v>-0.413163847365328+0.266344863115996i</v>
      </c>
      <c r="BD361">
        <f t="shared" si="349"/>
        <v>-6.1682407217081803</v>
      </c>
      <c r="BE361" s="43">
        <f t="shared" si="350"/>
        <v>147.19226666751004</v>
      </c>
      <c r="BF361" s="41" t="str">
        <f t="shared" si="351"/>
        <v>0.158188988537271+0.241952203780971i</v>
      </c>
      <c r="BG361" s="20">
        <f t="shared" si="352"/>
        <v>-10.779775313501315</v>
      </c>
      <c r="BH361" s="43">
        <f t="shared" si="353"/>
        <v>56.823235052970631</v>
      </c>
      <c r="BI361" s="41" t="str">
        <f t="shared" si="306"/>
        <v>0.0733024974633661+1.26308752326297i</v>
      </c>
      <c r="BJ361" s="20">
        <f t="shared" si="354"/>
        <v>2.043271317650873</v>
      </c>
      <c r="BK361" s="43">
        <f t="shared" si="307"/>
        <v>86.678600602348467</v>
      </c>
      <c r="BL361">
        <f t="shared" si="355"/>
        <v>-10.779775313501315</v>
      </c>
      <c r="BM361" s="43">
        <f t="shared" si="356"/>
        <v>56.823235052970631</v>
      </c>
    </row>
    <row r="362" spans="14:65" x14ac:dyDescent="0.25">
      <c r="N362" s="9">
        <v>44</v>
      </c>
      <c r="O362" s="34">
        <f t="shared" si="308"/>
        <v>27542.287033381719</v>
      </c>
      <c r="P362" s="33" t="str">
        <f t="shared" si="309"/>
        <v>19.6196196196196</v>
      </c>
      <c r="Q362" s="4" t="str">
        <f t="shared" si="310"/>
        <v>1+41.8887708694775i</v>
      </c>
      <c r="R362" s="4">
        <f t="shared" si="322"/>
        <v>41.900705542455803</v>
      </c>
      <c r="S362" s="4">
        <f t="shared" si="323"/>
        <v>1.5469281140294942</v>
      </c>
      <c r="T362" s="4" t="str">
        <f t="shared" si="311"/>
        <v>1+0.650680382485643i</v>
      </c>
      <c r="U362" s="4">
        <f t="shared" si="324"/>
        <v>1.1930569811000908</v>
      </c>
      <c r="V362" s="4">
        <f t="shared" si="325"/>
        <v>0.57685337241670798</v>
      </c>
      <c r="W362" t="str">
        <f t="shared" si="312"/>
        <v>1-0.378554078906209i</v>
      </c>
      <c r="X362" s="4">
        <f t="shared" si="326"/>
        <v>1.0692535670534506</v>
      </c>
      <c r="Y362" s="4">
        <f t="shared" si="327"/>
        <v>-0.36188292844211623</v>
      </c>
      <c r="Z362" t="str">
        <f t="shared" si="313"/>
        <v>0.999241422424971+0.253399465063748i</v>
      </c>
      <c r="AA362" s="4">
        <f t="shared" si="328"/>
        <v>1.0308708499052988</v>
      </c>
      <c r="AB362" s="4">
        <f t="shared" si="329"/>
        <v>0.24835634544613755</v>
      </c>
      <c r="AC362" s="47" t="str">
        <f t="shared" si="330"/>
        <v>-0.00551482609033557-0.579411634152955i</v>
      </c>
      <c r="AD362" s="20">
        <f t="shared" si="331"/>
        <v>-4.7398623570471745</v>
      </c>
      <c r="AE362" s="43">
        <f t="shared" si="332"/>
        <v>-90.545323393581342</v>
      </c>
      <c r="AF362" t="str">
        <f t="shared" si="314"/>
        <v>72.2956529813786</v>
      </c>
      <c r="AG362" t="str">
        <f t="shared" si="315"/>
        <v>1+34.1607200804963i</v>
      </c>
      <c r="AH362">
        <f t="shared" si="333"/>
        <v>34.175353639984813</v>
      </c>
      <c r="AI362">
        <f t="shared" si="334"/>
        <v>1.5415312966468226</v>
      </c>
      <c r="AJ362" t="str">
        <f t="shared" si="316"/>
        <v>1+0.650680382485643i</v>
      </c>
      <c r="AK362">
        <f t="shared" si="335"/>
        <v>1.1930569811000908</v>
      </c>
      <c r="AL362">
        <f t="shared" si="336"/>
        <v>0.57685337241670798</v>
      </c>
      <c r="AM362" t="str">
        <f t="shared" si="317"/>
        <v>1-0.0837790653281506i</v>
      </c>
      <c r="AN362">
        <f t="shared" si="337"/>
        <v>1.0035033292357622</v>
      </c>
      <c r="AO362">
        <f t="shared" si="338"/>
        <v>-8.3583873512353607E-2</v>
      </c>
      <c r="AP362" s="41" t="str">
        <f t="shared" si="339"/>
        <v>1.26400165642079-2.19470586636987i</v>
      </c>
      <c r="AQ362">
        <f t="shared" si="340"/>
        <v>8.0715834275949518</v>
      </c>
      <c r="AR362" s="43">
        <f t="shared" si="341"/>
        <v>-60.06097683543986</v>
      </c>
      <c r="AS362" t="str">
        <f t="shared" si="318"/>
        <v>-0.0000166666666666667</v>
      </c>
      <c r="AT362" t="str">
        <f t="shared" si="319"/>
        <v>0.000588381196928507i</v>
      </c>
      <c r="AU362">
        <f t="shared" si="342"/>
        <v>5.8838119692850705E-4</v>
      </c>
      <c r="AV362">
        <f t="shared" si="343"/>
        <v>1.5707963267948966</v>
      </c>
      <c r="AW362" t="str">
        <f t="shared" si="320"/>
        <v>1+0.587872216654349i</v>
      </c>
      <c r="AX362">
        <f t="shared" si="344"/>
        <v>1.1599973030632864</v>
      </c>
      <c r="AY362">
        <f t="shared" si="345"/>
        <v>0.53145428310384324</v>
      </c>
      <c r="AZ362" t="str">
        <f t="shared" si="321"/>
        <v>1+19.9876553662478i</v>
      </c>
      <c r="BA362">
        <f t="shared" si="346"/>
        <v>20.012655172162798</v>
      </c>
      <c r="BB362">
        <f t="shared" si="347"/>
        <v>1.5208071274846031</v>
      </c>
      <c r="BC362" s="41" t="str">
        <f t="shared" si="348"/>
        <v>-0.408387913711258+0.268406215512229i</v>
      </c>
      <c r="BD362">
        <f t="shared" si="349"/>
        <v>-6.2192460593682517</v>
      </c>
      <c r="BE362" s="43">
        <f t="shared" si="350"/>
        <v>146.68574243228088</v>
      </c>
      <c r="BF362" s="41" t="str">
        <f t="shared" si="351"/>
        <v>0.157769872268263+0.235144494851641i</v>
      </c>
      <c r="BG362" s="20">
        <f t="shared" si="352"/>
        <v>-10.959108416415432</v>
      </c>
      <c r="BH362" s="43">
        <f t="shared" si="353"/>
        <v>56.140419038699612</v>
      </c>
      <c r="BI362" s="41" t="str">
        <f t="shared" si="306"/>
        <v>0.0728696963615638+1.23555725097774i</v>
      </c>
      <c r="BJ362" s="20">
        <f t="shared" si="354"/>
        <v>1.8523373682266771</v>
      </c>
      <c r="BK362" s="43">
        <f t="shared" si="307"/>
        <v>86.624765596841016</v>
      </c>
      <c r="BL362">
        <f t="shared" si="355"/>
        <v>-10.959108416415432</v>
      </c>
      <c r="BM362" s="43">
        <f t="shared" si="356"/>
        <v>56.140419038699612</v>
      </c>
    </row>
    <row r="363" spans="14:65" x14ac:dyDescent="0.25">
      <c r="N363" s="9">
        <v>45</v>
      </c>
      <c r="O363" s="34">
        <f t="shared" si="308"/>
        <v>28183.829312644593</v>
      </c>
      <c r="P363" s="33" t="str">
        <f t="shared" si="309"/>
        <v>19.6196196196196</v>
      </c>
      <c r="Q363" s="4" t="str">
        <f t="shared" si="310"/>
        <v>1+42.8644856859905i</v>
      </c>
      <c r="R363" s="4">
        <f t="shared" si="322"/>
        <v>42.87614876740313</v>
      </c>
      <c r="S363" s="4">
        <f t="shared" si="323"/>
        <v>1.5474712215496225</v>
      </c>
      <c r="T363" s="4" t="str">
        <f t="shared" si="311"/>
        <v>1+0.665836675612119i</v>
      </c>
      <c r="U363" s="4">
        <f t="shared" si="324"/>
        <v>1.2013902274407755</v>
      </c>
      <c r="V363" s="4">
        <f t="shared" si="325"/>
        <v>0.58742777421776915</v>
      </c>
      <c r="W363" t="str">
        <f t="shared" si="312"/>
        <v>1-0.387371736144019i</v>
      </c>
      <c r="X363" s="4">
        <f t="shared" si="326"/>
        <v>1.0724070411757056</v>
      </c>
      <c r="Y363" s="4">
        <f t="shared" si="327"/>
        <v>-0.36957276534062705</v>
      </c>
      <c r="Z363" t="str">
        <f t="shared" si="313"/>
        <v>0.999205671765276+0.259301896847425i</v>
      </c>
      <c r="AA363" s="4">
        <f t="shared" si="328"/>
        <v>1.0323029827509795</v>
      </c>
      <c r="AB363" s="4">
        <f t="shared" si="329"/>
        <v>0.25390718602393642</v>
      </c>
      <c r="AC363" s="47" t="str">
        <f t="shared" si="330"/>
        <v>-0.00726822154534724-0.571052726488296i</v>
      </c>
      <c r="AD363" s="20">
        <f t="shared" si="331"/>
        <v>-4.8657723296971618</v>
      </c>
      <c r="AE363" s="43">
        <f t="shared" si="332"/>
        <v>-90.729207505516683</v>
      </c>
      <c r="AF363" t="str">
        <f t="shared" si="314"/>
        <v>72.2956529813786</v>
      </c>
      <c r="AG363" t="str">
        <f t="shared" si="315"/>
        <v>1+34.9564254696363i</v>
      </c>
      <c r="AH363">
        <f t="shared" si="333"/>
        <v>34.970726066443596</v>
      </c>
      <c r="AI363">
        <f t="shared" si="334"/>
        <v>1.5421970826565319</v>
      </c>
      <c r="AJ363" t="str">
        <f t="shared" si="316"/>
        <v>1+0.665836675612119i</v>
      </c>
      <c r="AK363">
        <f t="shared" si="335"/>
        <v>1.2013902274407755</v>
      </c>
      <c r="AL363">
        <f t="shared" si="336"/>
        <v>0.58742777421776915</v>
      </c>
      <c r="AM363" t="str">
        <f t="shared" si="317"/>
        <v>1-0.085730530450128i</v>
      </c>
      <c r="AN363">
        <f t="shared" si="337"/>
        <v>1.0036681343209319</v>
      </c>
      <c r="AO363">
        <f t="shared" si="338"/>
        <v>-8.5521419913130572E-2</v>
      </c>
      <c r="AP363" s="41" t="str">
        <f t="shared" si="339"/>
        <v>1.26126432947409-2.15013996777516i</v>
      </c>
      <c r="AQ363">
        <f t="shared" si="340"/>
        <v>7.9336353231861949</v>
      </c>
      <c r="AR363" s="43">
        <f t="shared" si="341"/>
        <v>-59.604268201153772</v>
      </c>
      <c r="AS363" t="str">
        <f t="shared" si="318"/>
        <v>-0.0000166666666666667</v>
      </c>
      <c r="AT363" t="str">
        <f t="shared" si="319"/>
        <v>0.000602086355606704i</v>
      </c>
      <c r="AU363">
        <f t="shared" si="342"/>
        <v>6.0208635560670396E-4</v>
      </c>
      <c r="AV363">
        <f t="shared" si="343"/>
        <v>1.5707963267948966</v>
      </c>
      <c r="AW363" t="str">
        <f t="shared" si="320"/>
        <v>1+0.601565519658948i</v>
      </c>
      <c r="AX363">
        <f t="shared" si="344"/>
        <v>1.166996604297776</v>
      </c>
      <c r="AY363">
        <f t="shared" si="345"/>
        <v>0.54156982266546183</v>
      </c>
      <c r="AZ363" t="str">
        <f t="shared" si="321"/>
        <v>1+20.4532276684042i</v>
      </c>
      <c r="BA363">
        <f t="shared" si="346"/>
        <v>20.477659096087496</v>
      </c>
      <c r="BB363">
        <f t="shared" si="347"/>
        <v>1.5219431899404363</v>
      </c>
      <c r="BC363" s="41" t="str">
        <f t="shared" si="348"/>
        <v>-0.403503824060574+0.270415509552289i</v>
      </c>
      <c r="BD363">
        <f t="shared" si="349"/>
        <v>-6.2719863873870079</v>
      </c>
      <c r="BE363" s="43">
        <f t="shared" si="350"/>
        <v>146.17125629188507</v>
      </c>
      <c r="BF363" s="41" t="str">
        <f t="shared" si="351"/>
        <v>0.157354269202224+0.22845651904552i</v>
      </c>
      <c r="BG363" s="20">
        <f t="shared" si="352"/>
        <v>-11.137758717084171</v>
      </c>
      <c r="BH363" s="43">
        <f t="shared" si="353"/>
        <v>55.442048786368261</v>
      </c>
      <c r="BI363" s="41" t="str">
        <f t="shared" si="306"/>
        <v>0.0725062149006711+1.20865513559762i</v>
      </c>
      <c r="BJ363" s="20">
        <f t="shared" si="354"/>
        <v>1.6616489357991964</v>
      </c>
      <c r="BK363" s="43">
        <f t="shared" si="307"/>
        <v>86.566988090731314</v>
      </c>
      <c r="BL363">
        <f t="shared" si="355"/>
        <v>-11.137758717084171</v>
      </c>
      <c r="BM363" s="43">
        <f t="shared" si="356"/>
        <v>55.442048786368261</v>
      </c>
    </row>
    <row r="364" spans="14:65" x14ac:dyDescent="0.25">
      <c r="N364" s="9">
        <v>46</v>
      </c>
      <c r="O364" s="34">
        <f t="shared" si="308"/>
        <v>28840.315031266062</v>
      </c>
      <c r="P364" s="33" t="str">
        <f t="shared" si="309"/>
        <v>19.6196196196196</v>
      </c>
      <c r="Q364" s="4" t="str">
        <f t="shared" si="310"/>
        <v>1+43.8629278201925i</v>
      </c>
      <c r="R364" s="4">
        <f t="shared" si="322"/>
        <v>43.874325487230202</v>
      </c>
      <c r="S364" s="4">
        <f t="shared" si="323"/>
        <v>1.5480019797323143</v>
      </c>
      <c r="T364" s="4" t="str">
        <f t="shared" si="311"/>
        <v>1+0.681346004157392i</v>
      </c>
      <c r="U364" s="4">
        <f t="shared" si="324"/>
        <v>1.2100547001608006</v>
      </c>
      <c r="V364" s="4">
        <f t="shared" si="325"/>
        <v>0.59809648978826258</v>
      </c>
      <c r="W364" t="str">
        <f t="shared" si="312"/>
        <v>1-0.396394783003802i</v>
      </c>
      <c r="X364" s="4">
        <f t="shared" si="326"/>
        <v>1.0756992256168223</v>
      </c>
      <c r="Y364" s="4">
        <f t="shared" si="327"/>
        <v>-0.37739457293038975</v>
      </c>
      <c r="Z364" t="str">
        <f t="shared" si="313"/>
        <v>0.999168236228897+0.265341813929076i</v>
      </c>
      <c r="AA364" s="4">
        <f t="shared" si="328"/>
        <v>1.0338004848654005</v>
      </c>
      <c r="AB364" s="4">
        <f t="shared" si="329"/>
        <v>0.25957143388710602</v>
      </c>
      <c r="AC364" s="47" t="str">
        <f t="shared" si="330"/>
        <v>-0.00905057406280616-0.562967264332626i</v>
      </c>
      <c r="AD364" s="20">
        <f t="shared" si="331"/>
        <v>-4.9892148457691876</v>
      </c>
      <c r="AE364" s="43">
        <f t="shared" si="332"/>
        <v>-90.921039394044556</v>
      </c>
      <c r="AF364" t="str">
        <f t="shared" si="314"/>
        <v>72.2956529813786</v>
      </c>
      <c r="AG364" t="str">
        <f t="shared" si="315"/>
        <v>1+35.7706652182631i</v>
      </c>
      <c r="AH364">
        <f t="shared" si="333"/>
        <v>35.784640422352403</v>
      </c>
      <c r="AI364">
        <f t="shared" si="334"/>
        <v>1.5428477380336323</v>
      </c>
      <c r="AJ364" t="str">
        <f t="shared" si="316"/>
        <v>1+0.681346004157392i</v>
      </c>
      <c r="AK364">
        <f t="shared" si="335"/>
        <v>1.2100547001608006</v>
      </c>
      <c r="AL364">
        <f t="shared" si="336"/>
        <v>0.59809648978826258</v>
      </c>
      <c r="AM364" t="str">
        <f t="shared" si="317"/>
        <v>1-0.0877274510341273i</v>
      </c>
      <c r="AN364">
        <f t="shared" si="337"/>
        <v>1.0038406774309085</v>
      </c>
      <c r="AO364">
        <f t="shared" si="338"/>
        <v>-8.7503431331126896E-2</v>
      </c>
      <c r="AP364" s="41" t="str">
        <f t="shared" si="339"/>
        <v>1.2586500055815-2.10670705671313i</v>
      </c>
      <c r="AQ364">
        <f t="shared" si="340"/>
        <v>7.7977064012013724</v>
      </c>
      <c r="AR364" s="43">
        <f t="shared" si="341"/>
        <v>-59.143836522362342</v>
      </c>
      <c r="AS364" t="str">
        <f t="shared" si="318"/>
        <v>-0.0000166666666666667</v>
      </c>
      <c r="AT364" t="str">
        <f t="shared" si="319"/>
        <v>0.000616110748440197i</v>
      </c>
      <c r="AU364">
        <f t="shared" si="342"/>
        <v>6.1611074844019698E-4</v>
      </c>
      <c r="AV364">
        <f t="shared" si="343"/>
        <v>1.5707963267948966</v>
      </c>
      <c r="AW364" t="str">
        <f t="shared" si="320"/>
        <v>1+0.615577780664729i</v>
      </c>
      <c r="AX364">
        <f t="shared" si="344"/>
        <v>1.1742810583706582</v>
      </c>
      <c r="AY364">
        <f t="shared" si="345"/>
        <v>0.55179507745443601</v>
      </c>
      <c r="AZ364" t="str">
        <f t="shared" si="321"/>
        <v>1+20.9296445426008i</v>
      </c>
      <c r="BA364">
        <f t="shared" si="346"/>
        <v>20.953520484148232</v>
      </c>
      <c r="BB364">
        <f t="shared" si="347"/>
        <v>1.5230535144198576</v>
      </c>
      <c r="BC364" s="41" t="str">
        <f t="shared" si="348"/>
        <v>-0.398513215870832+0.272367294570564i</v>
      </c>
      <c r="BD364">
        <f t="shared" si="349"/>
        <v>-6.3265018080697191</v>
      </c>
      <c r="BE364" s="43">
        <f t="shared" si="350"/>
        <v>145.64900925459176</v>
      </c>
      <c r="BF364" s="41" t="str">
        <f t="shared" si="351"/>
        <v>0.156940644093315+0.221884814567402i</v>
      </c>
      <c r="BG364" s="20">
        <f t="shared" si="352"/>
        <v>-11.315716653838919</v>
      </c>
      <c r="BH364" s="43">
        <f t="shared" si="353"/>
        <v>54.727969860547127</v>
      </c>
      <c r="BI364" s="41" t="str">
        <f t="shared" si="306"/>
        <v>0.0722094401095468+1.18236570089998i</v>
      </c>
      <c r="BJ364" s="20">
        <f t="shared" si="354"/>
        <v>1.4712045931316324</v>
      </c>
      <c r="BK364" s="43">
        <f t="shared" si="307"/>
        <v>86.505172732229411</v>
      </c>
      <c r="BL364">
        <f t="shared" si="355"/>
        <v>-11.315716653838919</v>
      </c>
      <c r="BM364" s="43">
        <f t="shared" si="356"/>
        <v>54.727969860547127</v>
      </c>
    </row>
    <row r="365" spans="14:65" x14ac:dyDescent="0.25">
      <c r="N365" s="9">
        <v>47</v>
      </c>
      <c r="O365" s="34">
        <f t="shared" si="308"/>
        <v>29512.092266663854</v>
      </c>
      <c r="P365" s="33" t="str">
        <f t="shared" si="309"/>
        <v>19.6196196196196</v>
      </c>
      <c r="Q365" s="4" t="str">
        <f t="shared" si="310"/>
        <v>1+44.8846266593197i</v>
      </c>
      <c r="R365" s="4">
        <f t="shared" si="322"/>
        <v>44.895764948895938</v>
      </c>
      <c r="S365" s="4">
        <f t="shared" si="323"/>
        <v>1.5485206687957638</v>
      </c>
      <c r="T365" s="4" t="str">
        <f t="shared" si="311"/>
        <v>1+0.697216591372756i</v>
      </c>
      <c r="U365" s="4">
        <f t="shared" si="324"/>
        <v>1.2190615141515397</v>
      </c>
      <c r="V365" s="4">
        <f t="shared" si="325"/>
        <v>0.60885546113854927</v>
      </c>
      <c r="W365" t="str">
        <f t="shared" si="312"/>
        <v>1-0.405628003624443i</v>
      </c>
      <c r="X365" s="4">
        <f t="shared" si="326"/>
        <v>1.0791358011503238</v>
      </c>
      <c r="Y365" s="4">
        <f t="shared" si="327"/>
        <v>-0.38534866906204768</v>
      </c>
      <c r="Z365" t="str">
        <f t="shared" si="313"/>
        <v>0.999129036410044+0.271522418752688i</v>
      </c>
      <c r="AA365" s="4">
        <f t="shared" si="328"/>
        <v>1.0353662421013026</v>
      </c>
      <c r="AB365" s="4">
        <f t="shared" si="329"/>
        <v>0.26535069276837819</v>
      </c>
      <c r="AC365" s="47" t="str">
        <f t="shared" si="330"/>
        <v>-0.0108646824548005-0.555149270987042i</v>
      </c>
      <c r="AD365" s="20">
        <f t="shared" si="331"/>
        <v>-5.1101414334151993</v>
      </c>
      <c r="AE365" s="43">
        <f t="shared" si="332"/>
        <v>-91.121177718781908</v>
      </c>
      <c r="AF365" t="str">
        <f t="shared" si="314"/>
        <v>72.2956529813786</v>
      </c>
      <c r="AG365" t="str">
        <f t="shared" si="315"/>
        <v>1+36.6038710470697i</v>
      </c>
      <c r="AH365">
        <f t="shared" si="333"/>
        <v>36.617528256703892</v>
      </c>
      <c r="AI365">
        <f t="shared" si="334"/>
        <v>1.5434836055593046</v>
      </c>
      <c r="AJ365" t="str">
        <f t="shared" si="316"/>
        <v>1+0.697216591372756i</v>
      </c>
      <c r="AK365">
        <f t="shared" si="335"/>
        <v>1.2190615141515397</v>
      </c>
      <c r="AL365">
        <f t="shared" si="336"/>
        <v>0.60885546113854927</v>
      </c>
      <c r="AM365" t="str">
        <f t="shared" si="317"/>
        <v>1-0.0897708858738759i</v>
      </c>
      <c r="AN365">
        <f t="shared" si="337"/>
        <v>1.0040213204661446</v>
      </c>
      <c r="AO365">
        <f t="shared" si="338"/>
        <v>-8.9530896331890583E-2</v>
      </c>
      <c r="AP365" s="41" t="str">
        <f t="shared" si="339"/>
        <v>1.25615316600352-2.06438457398562i</v>
      </c>
      <c r="AQ365">
        <f t="shared" si="340"/>
        <v>7.6638343053069127</v>
      </c>
      <c r="AR365" s="43">
        <f t="shared" si="341"/>
        <v>-58.679990585293595</v>
      </c>
      <c r="AS365" t="str">
        <f t="shared" si="318"/>
        <v>-0.0000166666666666667</v>
      </c>
      <c r="AT365" t="str">
        <f t="shared" si="319"/>
        <v>0.000630461811347704i</v>
      </c>
      <c r="AU365">
        <f t="shared" si="342"/>
        <v>6.3046181134770399E-4</v>
      </c>
      <c r="AV365">
        <f t="shared" si="343"/>
        <v>1.5707963267948966</v>
      </c>
      <c r="AW365" t="str">
        <f t="shared" si="320"/>
        <v>1+0.629916429157959i</v>
      </c>
      <c r="AX365">
        <f t="shared" si="344"/>
        <v>1.1818606972579779</v>
      </c>
      <c r="AY365">
        <f t="shared" si="345"/>
        <v>0.56212691571485263</v>
      </c>
      <c r="AZ365" t="str">
        <f t="shared" si="321"/>
        <v>1+21.4171585913706i</v>
      </c>
      <c r="BA365">
        <f t="shared" si="346"/>
        <v>21.440491648465514</v>
      </c>
      <c r="BB365">
        <f t="shared" si="347"/>
        <v>1.5241386786747342</v>
      </c>
      <c r="BC365" s="41" t="str">
        <f t="shared" si="348"/>
        <v>-0.393418029446187+0.274256128504199i</v>
      </c>
      <c r="BD365">
        <f t="shared" si="349"/>
        <v>-6.3828317270261445</v>
      </c>
      <c r="BE365" s="43">
        <f t="shared" si="350"/>
        <v>145.11921385954099</v>
      </c>
      <c r="BF365" s="41" t="str">
        <f t="shared" si="351"/>
        <v>0.156527451764761+0.215426026492728i</v>
      </c>
      <c r="BG365" s="20">
        <f t="shared" si="352"/>
        <v>-11.492973160441348</v>
      </c>
      <c r="BH365" s="43">
        <f t="shared" si="353"/>
        <v>53.998036140759005</v>
      </c>
      <c r="BI365" s="41" t="str">
        <f t="shared" si="306"/>
        <v>0.0719768177533925+1.15667381523295i</v>
      </c>
      <c r="BJ365" s="20">
        <f t="shared" si="354"/>
        <v>1.2810025782807923</v>
      </c>
      <c r="BK365" s="43">
        <f t="shared" si="307"/>
        <v>86.439223274247411</v>
      </c>
      <c r="BL365">
        <f t="shared" si="355"/>
        <v>-11.492973160441348</v>
      </c>
      <c r="BM365" s="43">
        <f t="shared" si="356"/>
        <v>53.998036140759005</v>
      </c>
    </row>
    <row r="366" spans="14:65" x14ac:dyDescent="0.25">
      <c r="N366" s="9">
        <v>48</v>
      </c>
      <c r="O366" s="34">
        <f t="shared" si="308"/>
        <v>30199.517204020212</v>
      </c>
      <c r="P366" s="33" t="str">
        <f t="shared" si="309"/>
        <v>19.6196196196196</v>
      </c>
      <c r="Q366" s="4" t="str">
        <f t="shared" si="310"/>
        <v>1+45.9301239216198i</v>
      </c>
      <c r="R366" s="4">
        <f t="shared" si="322"/>
        <v>45.941008733541665</v>
      </c>
      <c r="S366" s="4">
        <f t="shared" si="323"/>
        <v>1.5490275626387595</v>
      </c>
      <c r="T366" s="4" t="str">
        <f t="shared" si="311"/>
        <v>1+0.713456852053615i</v>
      </c>
      <c r="U366" s="4">
        <f t="shared" si="324"/>
        <v>1.2284220283527376</v>
      </c>
      <c r="V366" s="4">
        <f t="shared" si="325"/>
        <v>0.61970042958396243</v>
      </c>
      <c r="W366" t="str">
        <f t="shared" si="312"/>
        <v>1-0.415076293581725i</v>
      </c>
      <c r="X366" s="4">
        <f t="shared" si="326"/>
        <v>1.0827226466152551</v>
      </c>
      <c r="Y366" s="4">
        <f t="shared" si="327"/>
        <v>-0.393435244168583</v>
      </c>
      <c r="Z366" t="str">
        <f t="shared" si="313"/>
        <v>0.999087989160644+0.277846988356746i</v>
      </c>
      <c r="AA366" s="4">
        <f t="shared" si="328"/>
        <v>1.0370032589263993</v>
      </c>
      <c r="AB366" s="4">
        <f t="shared" si="329"/>
        <v>0.2712465405652435</v>
      </c>
      <c r="AC366" s="47" t="str">
        <f t="shared" si="330"/>
        <v>-0.0127133314192579-0.547592809567083i</v>
      </c>
      <c r="AD366" s="20">
        <f t="shared" si="331"/>
        <v>-5.2285049695662869</v>
      </c>
      <c r="AE366" s="43">
        <f t="shared" si="332"/>
        <v>-91.329983495503981</v>
      </c>
      <c r="AF366" t="str">
        <f t="shared" si="314"/>
        <v>72.2956529813786</v>
      </c>
      <c r="AG366" t="str">
        <f t="shared" si="315"/>
        <v>1+37.4564847328148i</v>
      </c>
      <c r="AH366">
        <f t="shared" si="333"/>
        <v>37.469831178423902</v>
      </c>
      <c r="AI366">
        <f t="shared" si="334"/>
        <v>1.5441050203209596</v>
      </c>
      <c r="AJ366" t="str">
        <f t="shared" si="316"/>
        <v>1+0.713456852053615i</v>
      </c>
      <c r="AK366">
        <f t="shared" si="335"/>
        <v>1.2284220283527376</v>
      </c>
      <c r="AL366">
        <f t="shared" si="336"/>
        <v>0.61970042958396243</v>
      </c>
      <c r="AM366" t="str">
        <f t="shared" si="317"/>
        <v>1-0.0918619184255726i</v>
      </c>
      <c r="AN366">
        <f t="shared" si="337"/>
        <v>1.0042104421170028</v>
      </c>
      <c r="AO366">
        <f t="shared" si="338"/>
        <v>-9.1604823194254725E-2</v>
      </c>
      <c r="AP366" s="41" t="str">
        <f t="shared" si="339"/>
        <v>1.25376853886434-2.02315051789973i</v>
      </c>
      <c r="AQ366">
        <f t="shared" si="340"/>
        <v>7.5320555402086997</v>
      </c>
      <c r="AR366" s="43">
        <f t="shared" si="341"/>
        <v>-58.213051363821023</v>
      </c>
      <c r="AS366" t="str">
        <f t="shared" si="318"/>
        <v>-0.0000166666666666667</v>
      </c>
      <c r="AT366" t="str">
        <f t="shared" si="319"/>
        <v>0.000645147153452738i</v>
      </c>
      <c r="AU366">
        <f t="shared" si="342"/>
        <v>6.4514715345273803E-4</v>
      </c>
      <c r="AV366">
        <f t="shared" si="343"/>
        <v>1.5707963267948966</v>
      </c>
      <c r="AW366" t="str">
        <f t="shared" si="320"/>
        <v>1+0.644589067679856i</v>
      </c>
      <c r="AX366">
        <f t="shared" si="344"/>
        <v>1.1897457989723628</v>
      </c>
      <c r="AY366">
        <f t="shared" si="345"/>
        <v>0.57256199203377178</v>
      </c>
      <c r="AZ366" t="str">
        <f t="shared" si="321"/>
        <v>1+21.9160283011151i</v>
      </c>
      <c r="BA366">
        <f t="shared" si="346"/>
        <v>21.938830791436406</v>
      </c>
      <c r="BB366">
        <f t="shared" si="347"/>
        <v>1.5251992478447498</v>
      </c>
      <c r="BC366" s="41" t="str">
        <f t="shared" si="348"/>
        <v>-0.388220513505036+0.276076598263974i</v>
      </c>
      <c r="BD366">
        <f t="shared" si="349"/>
        <v>-6.4410147439148355</v>
      </c>
      <c r="BE366" s="43">
        <f t="shared" si="350"/>
        <v>144.58209416489353</v>
      </c>
      <c r="BF366" s="41" t="str">
        <f t="shared" si="351"/>
        <v>0.156113136151036+0.209076908430967i</v>
      </c>
      <c r="BG366" s="20">
        <f t="shared" si="352"/>
        <v>-11.669519713481137</v>
      </c>
      <c r="BH366" s="43">
        <f t="shared" si="353"/>
        <v>53.252110669389602</v>
      </c>
      <c r="BI366" s="41" t="str">
        <f t="shared" si="306"/>
        <v>0.071805846783382+1.13156468617707i</v>
      </c>
      <c r="BJ366" s="20">
        <f t="shared" si="354"/>
        <v>1.0910407962938444</v>
      </c>
      <c r="BK366" s="43">
        <f t="shared" si="307"/>
        <v>86.36904280107251</v>
      </c>
      <c r="BL366">
        <f t="shared" si="355"/>
        <v>-11.669519713481137</v>
      </c>
      <c r="BM366" s="43">
        <f t="shared" si="356"/>
        <v>53.252110669389602</v>
      </c>
    </row>
    <row r="367" spans="14:65" x14ac:dyDescent="0.25">
      <c r="N367" s="9">
        <v>49</v>
      </c>
      <c r="O367" s="34">
        <f t="shared" si="308"/>
        <v>30902.954325135954</v>
      </c>
      <c r="P367" s="33" t="str">
        <f t="shared" si="309"/>
        <v>19.6196196196196</v>
      </c>
      <c r="Q367" s="4" t="str">
        <f t="shared" si="310"/>
        <v>1+46.9999739435802i</v>
      </c>
      <c r="R367" s="4">
        <f t="shared" si="322"/>
        <v>47.010611043648623</v>
      </c>
      <c r="S367" s="4">
        <f t="shared" si="323"/>
        <v>1.5495229289805936</v>
      </c>
      <c r="T367" s="4" t="str">
        <f t="shared" si="311"/>
        <v>1+0.73007539700115i</v>
      </c>
      <c r="U367" s="4">
        <f t="shared" si="324"/>
        <v>1.238147844688342</v>
      </c>
      <c r="V367" s="4">
        <f t="shared" si="325"/>
        <v>0.63062694130652985</v>
      </c>
      <c r="W367" t="str">
        <f t="shared" si="312"/>
        <v>1-0.424744662484048i</v>
      </c>
      <c r="X367" s="4">
        <f t="shared" si="326"/>
        <v>1.0864658431394372</v>
      </c>
      <c r="Y367" s="4">
        <f t="shared" si="327"/>
        <v>-0.4016543543891018</v>
      </c>
      <c r="Z367" t="str">
        <f t="shared" si="313"/>
        <v>0.999045007413979+0.28431887611177i</v>
      </c>
      <c r="AA367" s="4">
        <f t="shared" si="328"/>
        <v>1.0387146625287704</v>
      </c>
      <c r="AB367" s="4">
        <f t="shared" si="329"/>
        <v>0.27726052540816865</v>
      </c>
      <c r="AC367" s="47" t="str">
        <f t="shared" si="330"/>
        <v>-0.0145992911894307-0.540291976145686i</v>
      </c>
      <c r="AD367" s="20">
        <f t="shared" si="331"/>
        <v>-5.3442598387237448</v>
      </c>
      <c r="AE367" s="43">
        <f t="shared" si="332"/>
        <v>-91.547819166244324</v>
      </c>
      <c r="AF367" t="str">
        <f t="shared" si="314"/>
        <v>72.2956529813786</v>
      </c>
      <c r="AG367" t="str">
        <f t="shared" si="315"/>
        <v>1+38.3289583425604i</v>
      </c>
      <c r="AH367">
        <f t="shared" si="333"/>
        <v>38.34200109052383</v>
      </c>
      <c r="AI367">
        <f t="shared" si="334"/>
        <v>1.5447123098801245</v>
      </c>
      <c r="AJ367" t="str">
        <f t="shared" si="316"/>
        <v>1+0.73007539700115i</v>
      </c>
      <c r="AK367">
        <f t="shared" si="335"/>
        <v>1.238147844688342</v>
      </c>
      <c r="AL367">
        <f t="shared" si="336"/>
        <v>0.63062694130652985</v>
      </c>
      <c r="AM367" t="str">
        <f t="shared" si="317"/>
        <v>1-0.0940016573823546i</v>
      </c>
      <c r="AN367">
        <f t="shared" si="337"/>
        <v>1.0044084386297387</v>
      </c>
      <c r="AO367">
        <f t="shared" si="338"/>
        <v>-9.3726240139692066E-2</v>
      </c>
      <c r="AP367" s="41" t="str">
        <f t="shared" si="339"/>
        <v>1.25149108817456-1.98298343467994i</v>
      </c>
      <c r="AQ367">
        <f t="shared" si="340"/>
        <v>7.4024053654810409</v>
      </c>
      <c r="AR367" s="43">
        <f t="shared" si="341"/>
        <v>-57.743351723561169</v>
      </c>
      <c r="AS367" t="str">
        <f t="shared" si="318"/>
        <v>-0.0000166666666666667</v>
      </c>
      <c r="AT367" t="str">
        <f t="shared" si="319"/>
        <v>0.000660174561118063i</v>
      </c>
      <c r="AU367">
        <f t="shared" si="342"/>
        <v>6.6017456111806296E-4</v>
      </c>
      <c r="AV367">
        <f t="shared" si="343"/>
        <v>1.5707963267948966</v>
      </c>
      <c r="AW367" t="str">
        <f t="shared" si="320"/>
        <v>1+0.659603475857581i</v>
      </c>
      <c r="AX367">
        <f t="shared" si="344"/>
        <v>1.197946887538593</v>
      </c>
      <c r="AY367">
        <f t="shared" si="345"/>
        <v>0.58309674868320471</v>
      </c>
      <c r="AZ367" t="str">
        <f t="shared" si="321"/>
        <v>1+22.4265181791577i</v>
      </c>
      <c r="BA367">
        <f t="shared" si="346"/>
        <v>22.448802142655428</v>
      </c>
      <c r="BB367">
        <f t="shared" si="347"/>
        <v>1.5262357747088031</v>
      </c>
      <c r="BC367" s="41" t="str">
        <f t="shared" si="348"/>
        <v>-0.382923229178334+0.277823341018096i</v>
      </c>
      <c r="BD367">
        <f t="shared" si="349"/>
        <v>-6.5010885413548012</v>
      </c>
      <c r="BE367" s="43">
        <f t="shared" si="350"/>
        <v>144.03788568534586</v>
      </c>
      <c r="BF367" s="41" t="str">
        <f t="shared" si="351"/>
        <v>0.155696129664036+0.202834324350106i</v>
      </c>
      <c r="BG367" s="20">
        <f t="shared" si="352"/>
        <v>-11.845348380078534</v>
      </c>
      <c r="BH367" s="43">
        <f t="shared" si="353"/>
        <v>52.490066519101482</v>
      </c>
      <c r="BI367" s="41" t="str">
        <f t="shared" si="306"/>
        <v>0.0716940742346107+1.10702385558582i</v>
      </c>
      <c r="BJ367" s="20">
        <f t="shared" si="354"/>
        <v>0.90131682412627345</v>
      </c>
      <c r="BK367" s="43">
        <f t="shared" si="307"/>
        <v>86.294533961784708</v>
      </c>
      <c r="BL367">
        <f t="shared" si="355"/>
        <v>-11.845348380078534</v>
      </c>
      <c r="BM367" s="43">
        <f t="shared" si="356"/>
        <v>52.490066519101482</v>
      </c>
    </row>
    <row r="368" spans="14:65" x14ac:dyDescent="0.25">
      <c r="N368" s="9">
        <v>50</v>
      </c>
      <c r="O368" s="34">
        <f t="shared" si="308"/>
        <v>31622.77660168384</v>
      </c>
      <c r="P368" s="33" t="str">
        <f t="shared" si="309"/>
        <v>19.6196196196196</v>
      </c>
      <c r="Q368" s="4" t="str">
        <f t="shared" si="310"/>
        <v>1+48.0947439738435i</v>
      </c>
      <c r="R368" s="4">
        <f t="shared" si="322"/>
        <v>48.105138996884271</v>
      </c>
      <c r="S368" s="4">
        <f t="shared" si="323"/>
        <v>1.5500070294980453</v>
      </c>
      <c r="T368" s="4" t="str">
        <f t="shared" si="311"/>
        <v>1+0.747081037587866i</v>
      </c>
      <c r="U368" s="4">
        <f t="shared" si="324"/>
        <v>1.2482508068186307</v>
      </c>
      <c r="V368" s="4">
        <f t="shared" si="325"/>
        <v>0.64163035391051026</v>
      </c>
      <c r="W368" t="str">
        <f t="shared" si="312"/>
        <v>1-0.43463823662858i</v>
      </c>
      <c r="X368" s="4">
        <f t="shared" si="326"/>
        <v>1.0903716782545305</v>
      </c>
      <c r="Y368" s="4">
        <f t="shared" si="327"/>
        <v>-0.41000591469869158</v>
      </c>
      <c r="Z368" t="str">
        <f t="shared" si="313"/>
        <v>0.999+0.290941513498314i</v>
      </c>
      <c r="AA368" s="4">
        <f t="shared" si="328"/>
        <v>1.0405037069980527</v>
      </c>
      <c r="AB368" s="4">
        <f t="shared" si="329"/>
        <v>0.28339416151961316</v>
      </c>
      <c r="AC368" s="47" t="str">
        <f t="shared" si="330"/>
        <v>-0.0165253167595915-0.533240892881176i</v>
      </c>
      <c r="AD368" s="20">
        <f t="shared" si="331"/>
        <v>-5.4573620931714295</v>
      </c>
      <c r="AE368" s="43">
        <f t="shared" si="332"/>
        <v>-91.775047600648492</v>
      </c>
      <c r="AF368" t="str">
        <f t="shared" si="314"/>
        <v>72.2956529813786</v>
      </c>
      <c r="AG368" t="str">
        <f t="shared" si="315"/>
        <v>1+39.221754473363i</v>
      </c>
      <c r="AH368">
        <f t="shared" si="333"/>
        <v>39.23450042970817</v>
      </c>
      <c r="AI368">
        <f t="shared" si="334"/>
        <v>1.5453057944369859</v>
      </c>
      <c r="AJ368" t="str">
        <f t="shared" si="316"/>
        <v>1+0.747081037587866i</v>
      </c>
      <c r="AK368">
        <f t="shared" si="335"/>
        <v>1.2482508068186307</v>
      </c>
      <c r="AL368">
        <f t="shared" si="336"/>
        <v>0.64163035391051026</v>
      </c>
      <c r="AM368" t="str">
        <f t="shared" si="317"/>
        <v>1-0.0961912372621398i</v>
      </c>
      <c r="AN368">
        <f t="shared" si="337"/>
        <v>1.0046157246061904</v>
      </c>
      <c r="AO368">
        <f t="shared" si="338"/>
        <v>-9.5896195551422619E-2</v>
      </c>
      <c r="AP368" s="41" t="str">
        <f t="shared" si="339"/>
        <v>1.24931600333633-1.94386240903312i</v>
      </c>
      <c r="AQ368">
        <f t="shared" si="340"/>
        <v>7.2749176915418365</v>
      </c>
      <c r="AR368" s="43">
        <f t="shared" si="341"/>
        <v>-57.27123606825014</v>
      </c>
      <c r="AS368" t="str">
        <f t="shared" si="318"/>
        <v>-0.0000166666666666667</v>
      </c>
      <c r="AT368" t="str">
        <f t="shared" si="319"/>
        <v>0.000675552002074136i</v>
      </c>
      <c r="AU368">
        <f t="shared" si="342"/>
        <v>6.7555200207413595E-4</v>
      </c>
      <c r="AV368">
        <f t="shared" si="343"/>
        <v>1.5707963267948966</v>
      </c>
      <c r="AW368" t="str">
        <f t="shared" si="320"/>
        <v>1+0.674967614529089i</v>
      </c>
      <c r="AX368">
        <f t="shared" si="344"/>
        <v>1.2064747327081031</v>
      </c>
      <c r="AY368">
        <f t="shared" si="345"/>
        <v>0.59372741787795402</v>
      </c>
      <c r="AZ368" t="str">
        <f t="shared" si="321"/>
        <v>1+22.948898893989i</v>
      </c>
      <c r="BA368">
        <f t="shared" si="346"/>
        <v>22.970676099029596</v>
      </c>
      <c r="BB368">
        <f t="shared" si="347"/>
        <v>1.5272487999330315</v>
      </c>
      <c r="BC368" s="41" t="str">
        <f t="shared" si="348"/>
        <v>-0.377529052313006+0.279491066259297i</v>
      </c>
      <c r="BD368">
        <f t="shared" si="349"/>
        <v>-6.5630897726028774</v>
      </c>
      <c r="BE368" s="43">
        <f t="shared" si="350"/>
        <v>143.48683527697565</v>
      </c>
      <c r="BF368" s="41" t="str">
        <f t="shared" si="351"/>
        <v>0.15527485289984+0.196695250542561i</v>
      </c>
      <c r="BG368" s="20">
        <f t="shared" si="352"/>
        <v>-12.020451865774302</v>
      </c>
      <c r="BH368" s="43">
        <f t="shared" si="353"/>
        <v>51.711787676327262</v>
      </c>
      <c r="BI368" s="41" t="str">
        <f t="shared" si="306"/>
        <v>0.0716390905829955+1.08303719497642i</v>
      </c>
      <c r="BJ368" s="20">
        <f t="shared" si="354"/>
        <v>0.71182791893891861</v>
      </c>
      <c r="BK368" s="43">
        <f t="shared" si="307"/>
        <v>86.215599208725507</v>
      </c>
      <c r="BL368">
        <f t="shared" si="355"/>
        <v>-12.020451865774302</v>
      </c>
      <c r="BM368" s="43">
        <f t="shared" si="356"/>
        <v>51.711787676327262</v>
      </c>
    </row>
    <row r="369" spans="14:65" x14ac:dyDescent="0.25">
      <c r="N369" s="9">
        <v>51</v>
      </c>
      <c r="O369" s="34">
        <f t="shared" si="308"/>
        <v>32359.365692962871</v>
      </c>
      <c r="P369" s="33" t="str">
        <f t="shared" si="309"/>
        <v>19.6196196196196</v>
      </c>
      <c r="Q369" s="4" t="str">
        <f t="shared" si="310"/>
        <v>1+49.2150144739711i</v>
      </c>
      <c r="R369" s="4">
        <f t="shared" si="322"/>
        <v>49.22517292679818</v>
      </c>
      <c r="S369" s="4">
        <f t="shared" si="323"/>
        <v>1.5504801199594915</v>
      </c>
      <c r="T369" s="4" t="str">
        <f t="shared" si="311"/>
        <v>1+0.764482790429497i</v>
      </c>
      <c r="U369" s="4">
        <f t="shared" si="324"/>
        <v>1.2587429987344001</v>
      </c>
      <c r="V369" s="4">
        <f t="shared" si="325"/>
        <v>0.65270584396819398</v>
      </c>
      <c r="W369" t="str">
        <f t="shared" si="312"/>
        <v>1-0.444762261719289i</v>
      </c>
      <c r="X369" s="4">
        <f t="shared" si="326"/>
        <v>1.0944466498873562</v>
      </c>
      <c r="Y369" s="4">
        <f t="shared" si="327"/>
        <v>-0.41848969207957792</v>
      </c>
      <c r="Z369" t="str">
        <f t="shared" si="313"/>
        <v>0.998952871451949+0.297718411926381i</v>
      </c>
      <c r="AA369" s="4">
        <f t="shared" si="328"/>
        <v>1.0423737775779187</v>
      </c>
      <c r="AB369" s="4">
        <f t="shared" si="329"/>
        <v>0.28964892486158234</v>
      </c>
      <c r="AC369" s="47" t="str">
        <f t="shared" si="330"/>
        <v>-0.0184941466706112-0.526433701148865i</v>
      </c>
      <c r="AD369" s="20">
        <f t="shared" si="331"/>
        <v>-5.5677696138544954</v>
      </c>
      <c r="AE369" s="43">
        <f t="shared" si="332"/>
        <v>-92.012031030674279</v>
      </c>
      <c r="AF369" t="str">
        <f t="shared" si="314"/>
        <v>72.2956529813786</v>
      </c>
      <c r="AG369" t="str">
        <f t="shared" si="315"/>
        <v>1+40.1353464975486i</v>
      </c>
      <c r="AH369">
        <f t="shared" si="333"/>
        <v>40.147802411567774</v>
      </c>
      <c r="AI369">
        <f t="shared" si="334"/>
        <v>1.545885786991638</v>
      </c>
      <c r="AJ369" t="str">
        <f t="shared" si="316"/>
        <v>1+0.764482790429497i</v>
      </c>
      <c r="AK369">
        <f t="shared" si="335"/>
        <v>1.2587429987344001</v>
      </c>
      <c r="AL369">
        <f t="shared" si="336"/>
        <v>0.65270584396819398</v>
      </c>
      <c r="AM369" t="str">
        <f t="shared" si="317"/>
        <v>1-0.0984318190091629i</v>
      </c>
      <c r="AN369">
        <f t="shared" si="337"/>
        <v>1.0048327338385492</v>
      </c>
      <c r="AO369">
        <f t="shared" si="338"/>
        <v>-9.8115758182028903E-2</v>
      </c>
      <c r="AP369" s="41" t="str">
        <f t="shared" si="339"/>
        <v>1.24723868911017-1.90576705487038i</v>
      </c>
      <c r="AQ369">
        <f t="shared" si="340"/>
        <v>7.1496249785484958</v>
      </c>
      <c r="AR369" s="43">
        <f t="shared" si="341"/>
        <v>-56.79705992853512</v>
      </c>
      <c r="AS369" t="str">
        <f t="shared" si="318"/>
        <v>-0.0000166666666666667</v>
      </c>
      <c r="AT369" t="str">
        <f t="shared" si="319"/>
        <v>0.000691287629643697i</v>
      </c>
      <c r="AU369">
        <f t="shared" si="342"/>
        <v>6.9128762964369695E-4</v>
      </c>
      <c r="AV369">
        <f t="shared" si="343"/>
        <v>1.5707963267948966</v>
      </c>
      <c r="AW369" t="str">
        <f t="shared" si="320"/>
        <v>1+0.690689629964073i</v>
      </c>
      <c r="AX369">
        <f t="shared" si="344"/>
        <v>1.2153403494247643</v>
      </c>
      <c r="AY369">
        <f t="shared" si="345"/>
        <v>0.60445002497898648</v>
      </c>
      <c r="AZ369" t="str">
        <f t="shared" si="321"/>
        <v>1+23.4834474187785i</v>
      </c>
      <c r="BA369">
        <f t="shared" si="346"/>
        <v>23.504729368161943</v>
      </c>
      <c r="BB369">
        <f t="shared" si="347"/>
        <v>1.5282388523153878</v>
      </c>
      <c r="BC369" s="41" t="str">
        <f t="shared" si="348"/>
        <v>-0.372041173966016+0.281074578508322i</v>
      </c>
      <c r="BD369">
        <f t="shared" si="349"/>
        <v>-6.6270539486378786</v>
      </c>
      <c r="BE369" s="43">
        <f t="shared" si="350"/>
        <v>142.92920096771536</v>
      </c>
      <c r="BF369" s="41" t="str">
        <f t="shared" si="351"/>
        <v>0.154847714701827+0.190656777710385i</v>
      </c>
      <c r="BG369" s="20">
        <f t="shared" si="352"/>
        <v>-12.194823562492385</v>
      </c>
      <c r="BH369" s="43">
        <f t="shared" si="353"/>
        <v>50.917169937041038</v>
      </c>
      <c r="BI369" s="41" t="str">
        <f t="shared" si="306"/>
        <v>0.0716385255703558+1.05959090124065i</v>
      </c>
      <c r="BJ369" s="20">
        <f t="shared" si="354"/>
        <v>0.52257102991064686</v>
      </c>
      <c r="BK369" s="43">
        <f t="shared" si="307"/>
        <v>86.132141039180269</v>
      </c>
      <c r="BL369">
        <f t="shared" si="355"/>
        <v>-12.194823562492385</v>
      </c>
      <c r="BM369" s="43">
        <f t="shared" si="356"/>
        <v>50.917169937041038</v>
      </c>
    </row>
    <row r="370" spans="14:65" x14ac:dyDescent="0.25">
      <c r="N370" s="9">
        <v>52</v>
      </c>
      <c r="O370" s="34">
        <f t="shared" si="308"/>
        <v>33113.11214825909</v>
      </c>
      <c r="P370" s="33" t="str">
        <f t="shared" si="309"/>
        <v>19.6196196196196</v>
      </c>
      <c r="Q370" s="4" t="str">
        <f t="shared" si="310"/>
        <v>1+50.3613794262104i</v>
      </c>
      <c r="R370" s="4">
        <f t="shared" si="322"/>
        <v>50.371306690523006</v>
      </c>
      <c r="S370" s="4">
        <f t="shared" si="323"/>
        <v>1.550942450356195</v>
      </c>
      <c r="T370" s="4" t="str">
        <f t="shared" si="311"/>
        <v>1+0.78228988216574i</v>
      </c>
      <c r="U370" s="4">
        <f t="shared" si="324"/>
        <v>1.2696367432218112</v>
      </c>
      <c r="V370" s="4">
        <f t="shared" si="325"/>
        <v>0.66384841554350937</v>
      </c>
      <c r="W370" t="str">
        <f t="shared" si="312"/>
        <v>1-0.455122105648287i</v>
      </c>
      <c r="X370" s="4">
        <f t="shared" si="326"/>
        <v>1.0986974702117642</v>
      </c>
      <c r="Y370" s="4">
        <f t="shared" si="327"/>
        <v>-0.42710529877166747</v>
      </c>
      <c r="Z370" t="str">
        <f t="shared" si="313"/>
        <v>0.998903521803857+0.30465316459722i</v>
      </c>
      <c r="AA370" s="4">
        <f t="shared" si="328"/>
        <v>1.0443283949846665</v>
      </c>
      <c r="AB370" s="4">
        <f t="shared" si="329"/>
        <v>0.29602624857040655</v>
      </c>
      <c r="AC370" s="47" t="str">
        <f t="shared" si="330"/>
        <v>-0.0205085013391977-0.519864554697428i</v>
      </c>
      <c r="AD370" s="20">
        <f t="shared" si="331"/>
        <v>-5.6754422711316295</v>
      </c>
      <c r="AE370" s="43">
        <f t="shared" si="332"/>
        <v>-92.259129921463767</v>
      </c>
      <c r="AF370" t="str">
        <f t="shared" si="314"/>
        <v>72.2956529813786</v>
      </c>
      <c r="AG370" t="str">
        <f t="shared" si="315"/>
        <v>1+41.0702188137014i</v>
      </c>
      <c r="AH370">
        <f t="shared" si="333"/>
        <v>41.082391281488384</v>
      </c>
      <c r="AI370">
        <f t="shared" si="334"/>
        <v>1.5464525935020805</v>
      </c>
      <c r="AJ370" t="str">
        <f t="shared" si="316"/>
        <v>1+0.78228988216574i</v>
      </c>
      <c r="AK370">
        <f t="shared" si="335"/>
        <v>1.2696367432218112</v>
      </c>
      <c r="AL370">
        <f t="shared" si="336"/>
        <v>0.66384841554350937</v>
      </c>
      <c r="AM370" t="str">
        <f t="shared" si="317"/>
        <v>1-0.100724590609524i</v>
      </c>
      <c r="AN370">
        <f t="shared" si="337"/>
        <v>1.005059920180611</v>
      </c>
      <c r="AO370">
        <f t="shared" si="338"/>
        <v>-0.10038601734823695</v>
      </c>
      <c r="AP370" s="41" t="str">
        <f t="shared" si="339"/>
        <v>1.24525475602355-1.86867750618927i</v>
      </c>
      <c r="AQ370">
        <f t="shared" si="340"/>
        <v>7.0265581389985243</v>
      </c>
      <c r="AR370" s="43">
        <f t="shared" si="341"/>
        <v>-56.321189493820661</v>
      </c>
      <c r="AS370" t="str">
        <f t="shared" si="318"/>
        <v>-0.0000166666666666667</v>
      </c>
      <c r="AT370" t="str">
        <f t="shared" si="319"/>
        <v>0.000707389787064767i</v>
      </c>
      <c r="AU370">
        <f t="shared" si="342"/>
        <v>7.0738978706476698E-4</v>
      </c>
      <c r="AV370">
        <f t="shared" si="343"/>
        <v>1.5707963267948966</v>
      </c>
      <c r="AW370" t="str">
        <f t="shared" si="320"/>
        <v>1+0.706777858183222i</v>
      </c>
      <c r="AX370">
        <f t="shared" si="344"/>
        <v>1.224554997057324</v>
      </c>
      <c r="AY370">
        <f t="shared" si="345"/>
        <v>0.61526039266546961</v>
      </c>
      <c r="AZ370" t="str">
        <f t="shared" si="321"/>
        <v>1+24.0304471782295i</v>
      </c>
      <c r="BA370">
        <f t="shared" si="346"/>
        <v>24.051245115080388</v>
      </c>
      <c r="BB370">
        <f t="shared" si="347"/>
        <v>1.5292064490267037</v>
      </c>
      <c r="BC370" s="41" t="str">
        <f t="shared" si="348"/>
        <v>-0.366463098988209+0.282568800490427i</v>
      </c>
      <c r="BD370">
        <f t="shared" si="349"/>
        <v>-6.6930153253327349</v>
      </c>
      <c r="BE370" s="43">
        <f t="shared" si="350"/>
        <v>142.36525173212448</v>
      </c>
      <c r="BF370" s="41" t="str">
        <f t="shared" si="351"/>
        <v>0.154413112594708+0.184716113145271i</v>
      </c>
      <c r="BG370" s="20">
        <f t="shared" si="352"/>
        <v>-12.368457596464385</v>
      </c>
      <c r="BH370" s="43">
        <f t="shared" si="353"/>
        <v>50.106121810660746</v>
      </c>
      <c r="BI370" s="41" t="str">
        <f t="shared" ref="BI370:BI433" si="357">IMPRODUCT(AP370,BC370)</f>
        <v>0.0716900445051482+1.03667149264225i</v>
      </c>
      <c r="BJ370" s="20">
        <f t="shared" si="354"/>
        <v>0.33354281366577387</v>
      </c>
      <c r="BK370" s="43">
        <f t="shared" ref="BK370:BK433" si="358">(180/PI())*IMARGUMENT(BI370)</f>
        <v>86.044062238303823</v>
      </c>
      <c r="BL370">
        <f t="shared" si="355"/>
        <v>-12.368457596464385</v>
      </c>
      <c r="BM370" s="43">
        <f t="shared" si="356"/>
        <v>50.106121810660746</v>
      </c>
    </row>
    <row r="371" spans="14:65" x14ac:dyDescent="0.25">
      <c r="N371" s="9">
        <v>53</v>
      </c>
      <c r="O371" s="34">
        <f t="shared" si="308"/>
        <v>33884.41561392029</v>
      </c>
      <c r="P371" s="33" t="str">
        <f t="shared" si="309"/>
        <v>19.6196196196196</v>
      </c>
      <c r="Q371" s="4" t="str">
        <f t="shared" si="310"/>
        <v>1+51.5344466484336i</v>
      </c>
      <c r="R371" s="4">
        <f t="shared" si="322"/>
        <v>51.544147983648436</v>
      </c>
      <c r="S371" s="4">
        <f t="shared" si="323"/>
        <v>1.5513942650308163</v>
      </c>
      <c r="T371" s="4" t="str">
        <f t="shared" si="311"/>
        <v>1+0.800511754352343i</v>
      </c>
      <c r="U371" s="4">
        <f t="shared" si="324"/>
        <v>1.2809446002291691</v>
      </c>
      <c r="V371" s="4">
        <f t="shared" si="325"/>
        <v>0.67505290967183407</v>
      </c>
      <c r="W371" t="str">
        <f t="shared" si="312"/>
        <v>1-0.465723261341955i</v>
      </c>
      <c r="X371" s="4">
        <f t="shared" si="326"/>
        <v>1.1031310693453371</v>
      </c>
      <c r="Y371" s="4">
        <f t="shared" si="327"/>
        <v>-0.43585218564341305</v>
      </c>
      <c r="Z371" t="str">
        <f t="shared" si="313"/>
        <v>0.998851846378503+0.311749448408492i</v>
      </c>
      <c r="AA371" s="4">
        <f t="shared" si="328"/>
        <v>1.0463712197861443</v>
      </c>
      <c r="AB371" s="4">
        <f t="shared" si="329"/>
        <v>0.30252751817850831</v>
      </c>
      <c r="AC371" s="47" t="str">
        <f t="shared" si="330"/>
        <v>-0.0225710809148534-0.513527612853776i</v>
      </c>
      <c r="AD371" s="20">
        <f t="shared" si="331"/>
        <v>-5.7803420845784617</v>
      </c>
      <c r="AE371" s="43">
        <f t="shared" si="332"/>
        <v>-92.516701781959753</v>
      </c>
      <c r="AF371" t="str">
        <f t="shared" si="314"/>
        <v>72.2956529813786</v>
      </c>
      <c r="AG371" t="str">
        <f t="shared" si="315"/>
        <v>1+42.026867103498i</v>
      </c>
      <c r="AH371">
        <f t="shared" si="333"/>
        <v>42.03876257140643</v>
      </c>
      <c r="AI371">
        <f t="shared" si="334"/>
        <v>1.5470065130390118</v>
      </c>
      <c r="AJ371" t="str">
        <f t="shared" si="316"/>
        <v>1+0.800511754352343i</v>
      </c>
      <c r="AK371">
        <f t="shared" si="335"/>
        <v>1.2809446002291691</v>
      </c>
      <c r="AL371">
        <f t="shared" si="336"/>
        <v>0.67505290967183407</v>
      </c>
      <c r="AM371" t="str">
        <f t="shared" si="317"/>
        <v>1-0.103070767721074i</v>
      </c>
      <c r="AN371">
        <f t="shared" si="337"/>
        <v>1.0052977584569716</v>
      </c>
      <c r="AO371">
        <f t="shared" si="338"/>
        <v>-0.1027080831114245</v>
      </c>
      <c r="AP371" s="41" t="str">
        <f t="shared" si="339"/>
        <v>1.24336001120233-1.83257440811962i</v>
      </c>
      <c r="AQ371">
        <f t="shared" si="340"/>
        <v>6.9057464448206254</v>
      </c>
      <c r="AR371" s="43">
        <f t="shared" si="341"/>
        <v>-55.844001088326955</v>
      </c>
      <c r="AS371" t="str">
        <f t="shared" si="318"/>
        <v>-0.0000166666666666667</v>
      </c>
      <c r="AT371" t="str">
        <f t="shared" si="319"/>
        <v>0.000723867011914352i</v>
      </c>
      <c r="AU371">
        <f t="shared" si="342"/>
        <v>7.2386701191435199E-4</v>
      </c>
      <c r="AV371">
        <f t="shared" si="343"/>
        <v>1.5707963267948966</v>
      </c>
      <c r="AW371" t="str">
        <f t="shared" si="320"/>
        <v>1+0.723240829378096i</v>
      </c>
      <c r="AX371">
        <f t="shared" si="344"/>
        <v>1.2341301784169756</v>
      </c>
      <c r="AY371">
        <f t="shared" si="345"/>
        <v>0.62615414609145092</v>
      </c>
      <c r="AZ371" t="str">
        <f t="shared" si="321"/>
        <v>1+24.5901881988552i</v>
      </c>
      <c r="BA371">
        <f t="shared" si="346"/>
        <v>24.610513112389945</v>
      </c>
      <c r="BB371">
        <f t="shared" si="347"/>
        <v>1.5301520958481853</v>
      </c>
      <c r="BC371" s="41" t="str">
        <f t="shared" si="348"/>
        <v>-0.360798642613106+0.283968796606424i</v>
      </c>
      <c r="BD371">
        <f t="shared" si="349"/>
        <v>-6.7610067914283913</v>
      </c>
      <c r="BE371" s="43">
        <f t="shared" si="350"/>
        <v>141.79526720954027</v>
      </c>
      <c r="BF371" s="41" t="str">
        <f t="shared" si="351"/>
        <v>0.153969433602646+0.178870582976494i</v>
      </c>
      <c r="BG371" s="20">
        <f t="shared" si="352"/>
        <v>-12.54134887600685</v>
      </c>
      <c r="BH371" s="43">
        <f t="shared" si="353"/>
        <v>49.278565427580567</v>
      </c>
      <c r="BI371" s="41" t="str">
        <f t="shared" si="357"/>
        <v>0.0717913450442413+1.01426580506675i</v>
      </c>
      <c r="BJ371" s="20">
        <f t="shared" si="354"/>
        <v>0.14473965339222947</v>
      </c>
      <c r="BK371" s="43">
        <f t="shared" si="358"/>
        <v>85.951266121213351</v>
      </c>
      <c r="BL371">
        <f t="shared" si="355"/>
        <v>-12.54134887600685</v>
      </c>
      <c r="BM371" s="43">
        <f t="shared" si="356"/>
        <v>49.278565427580567</v>
      </c>
    </row>
    <row r="372" spans="14:65" x14ac:dyDescent="0.25">
      <c r="N372" s="9">
        <v>54</v>
      </c>
      <c r="O372" s="34">
        <f t="shared" si="308"/>
        <v>34673.685045253202</v>
      </c>
      <c r="P372" s="33" t="str">
        <f t="shared" si="309"/>
        <v>19.6196196196196</v>
      </c>
      <c r="Q372" s="4" t="str">
        <f t="shared" si="310"/>
        <v>1+52.7348381164082i</v>
      </c>
      <c r="R372" s="4">
        <f t="shared" si="322"/>
        <v>52.74431866242827</v>
      </c>
      <c r="S372" s="4">
        <f t="shared" si="323"/>
        <v>1.5518358028031976</v>
      </c>
      <c r="T372" s="4" t="str">
        <f t="shared" si="311"/>
        <v>1+0.819158068467121i</v>
      </c>
      <c r="U372" s="4">
        <f t="shared" si="324"/>
        <v>1.2926793651694084</v>
      </c>
      <c r="V372" s="4">
        <f t="shared" si="325"/>
        <v>0.68631401476512488</v>
      </c>
      <c r="W372" t="str">
        <f t="shared" si="312"/>
        <v>1-0.476571349673359i</v>
      </c>
      <c r="X372" s="4">
        <f t="shared" si="326"/>
        <v>1.1077545988753497</v>
      </c>
      <c r="Y372" s="4">
        <f t="shared" si="327"/>
        <v>-0.44472963572666879</v>
      </c>
      <c r="Z372" t="str">
        <f t="shared" si="313"/>
        <v>0.998797735565383+0.319011025903799i</v>
      </c>
      <c r="AA372" s="4">
        <f t="shared" si="328"/>
        <v>1.0485060568345475</v>
      </c>
      <c r="AB372" s="4">
        <f t="shared" si="329"/>
        <v>0.30915406662411676</v>
      </c>
      <c r="AC372" s="47" t="str">
        <f t="shared" si="330"/>
        <v>-0.0246845626491606-0.507417033802971i</v>
      </c>
      <c r="AD372" s="20">
        <f t="shared" si="331"/>
        <v>-5.8824333809942084</v>
      </c>
      <c r="AE372" s="43">
        <f t="shared" si="332"/>
        <v>-92.78509991959497</v>
      </c>
      <c r="AF372" t="str">
        <f t="shared" si="314"/>
        <v>72.2956529813786</v>
      </c>
      <c r="AG372" t="str">
        <f t="shared" si="315"/>
        <v>1+43.0057985945239i</v>
      </c>
      <c r="AH372">
        <f t="shared" si="333"/>
        <v>43.01742336254874</v>
      </c>
      <c r="AI372">
        <f t="shared" si="334"/>
        <v>1.5475478379374636</v>
      </c>
      <c r="AJ372" t="str">
        <f t="shared" si="316"/>
        <v>1+0.819158068467121i</v>
      </c>
      <c r="AK372">
        <f t="shared" si="335"/>
        <v>1.2926793651694084</v>
      </c>
      <c r="AL372">
        <f t="shared" si="336"/>
        <v>0.68631401476512488</v>
      </c>
      <c r="AM372" t="str">
        <f t="shared" si="317"/>
        <v>1-0.105471594317972i</v>
      </c>
      <c r="AN372">
        <f t="shared" si="337"/>
        <v>1.0055467454116565</v>
      </c>
      <c r="AO372">
        <f t="shared" si="338"/>
        <v>-0.10508308644232076</v>
      </c>
      <c r="AP372" s="41" t="str">
        <f t="shared" si="339"/>
        <v>1.24155044960669-1.79743890813555i</v>
      </c>
      <c r="AQ372">
        <f t="shared" si="340"/>
        <v>6.7872174397320864</v>
      </c>
      <c r="AR372" s="43">
        <f t="shared" si="341"/>
        <v>-55.365880593044679</v>
      </c>
      <c r="AS372" t="str">
        <f t="shared" si="318"/>
        <v>-0.0000166666666666667</v>
      </c>
      <c r="AT372" t="str">
        <f t="shared" si="319"/>
        <v>0.000740728040635165i</v>
      </c>
      <c r="AU372">
        <f t="shared" si="342"/>
        <v>7.4072804063516501E-4</v>
      </c>
      <c r="AV372">
        <f t="shared" si="343"/>
        <v>1.5707963267948966</v>
      </c>
      <c r="AW372" t="str">
        <f t="shared" si="320"/>
        <v>1+0.740087272433923i</v>
      </c>
      <c r="AX372">
        <f t="shared" si="344"/>
        <v>1.2440776385815653</v>
      </c>
      <c r="AY372">
        <f t="shared" si="345"/>
        <v>0.63712671903536922</v>
      </c>
      <c r="AZ372" t="str">
        <f t="shared" si="321"/>
        <v>1+25.1629672627533i</v>
      </c>
      <c r="BA372">
        <f t="shared" si="346"/>
        <v>25.182829893925629</v>
      </c>
      <c r="BB372">
        <f t="shared" si="347"/>
        <v>1.5310762874052963</v>
      </c>
      <c r="BC372" s="41" t="str">
        <f t="shared" si="348"/>
        <v>-0.355051924984144+0.285269796506249i</v>
      </c>
      <c r="BD372">
        <f t="shared" si="349"/>
        <v>-6.8310597580522883</v>
      </c>
      <c r="BE372" s="43">
        <f t="shared" si="350"/>
        <v>141.21953736513856</v>
      </c>
      <c r="BF372" s="41" t="str">
        <f t="shared" si="351"/>
        <v>0.153515055462754+0.173117634457717i</v>
      </c>
      <c r="BG372" s="20">
        <f t="shared" si="352"/>
        <v>-12.713493139046513</v>
      </c>
      <c r="BH372" s="43">
        <f t="shared" si="353"/>
        <v>48.43443744554353</v>
      </c>
      <c r="BI372" s="41" t="str">
        <f t="shared" si="357"/>
        <v>0.0719401544584579+0.992360988486467i</v>
      </c>
      <c r="BJ372" s="20">
        <f t="shared" si="354"/>
        <v>-4.3842318320203869E-2</v>
      </c>
      <c r="BK372" s="43">
        <f t="shared" si="358"/>
        <v>85.853656772093885</v>
      </c>
      <c r="BL372">
        <f t="shared" si="355"/>
        <v>-12.713493139046513</v>
      </c>
      <c r="BM372" s="43">
        <f t="shared" si="356"/>
        <v>48.43443744554353</v>
      </c>
    </row>
    <row r="373" spans="14:65" x14ac:dyDescent="0.25">
      <c r="N373" s="9">
        <v>55</v>
      </c>
      <c r="O373" s="34">
        <f t="shared" si="308"/>
        <v>35481.33892335758</v>
      </c>
      <c r="P373" s="33" t="str">
        <f t="shared" si="309"/>
        <v>19.6196196196196</v>
      </c>
      <c r="Q373" s="4" t="str">
        <f t="shared" si="310"/>
        <v>1+53.9631902935808i</v>
      </c>
      <c r="R373" s="4">
        <f t="shared" si="322"/>
        <v>53.972455073502204</v>
      </c>
      <c r="S373" s="4">
        <f t="shared" si="323"/>
        <v>1.5522672970934734</v>
      </c>
      <c r="T373" s="4" t="str">
        <f t="shared" si="311"/>
        <v>1+0.838238711032647i</v>
      </c>
      <c r="U373" s="4">
        <f t="shared" si="324"/>
        <v>1.3048540671943638</v>
      </c>
      <c r="V373" s="4">
        <f t="shared" si="325"/>
        <v>0.69762627790223375</v>
      </c>
      <c r="W373" t="str">
        <f t="shared" si="312"/>
        <v>1-0.487672122442531i</v>
      </c>
      <c r="X373" s="4">
        <f t="shared" si="326"/>
        <v>1.1125754351987118</v>
      </c>
      <c r="Y373" s="4">
        <f t="shared" si="327"/>
        <v>-0.45373675796180779</v>
      </c>
      <c r="Z373" t="str">
        <f t="shared" si="313"/>
        <v>0.998741074588206+0.326441747267653i</v>
      </c>
      <c r="AA373" s="4">
        <f t="shared" si="328"/>
        <v>1.0507368597459417</v>
      </c>
      <c r="AB373" s="4">
        <f t="shared" si="329"/>
        <v>0.31590716905129712</v>
      </c>
      <c r="AC373" s="47" t="str">
        <f t="shared" si="330"/>
        <v>-0.0268515977628861-0.501526967972548i</v>
      </c>
      <c r="AD373" s="20">
        <f t="shared" si="331"/>
        <v>-5.9816829497464621</v>
      </c>
      <c r="AE373" s="43">
        <f t="shared" si="332"/>
        <v>-93.064672144142932</v>
      </c>
      <c r="AF373" t="str">
        <f t="shared" si="314"/>
        <v>72.2956529813786</v>
      </c>
      <c r="AG373" t="str">
        <f t="shared" si="315"/>
        <v>1+44.007532329214i</v>
      </c>
      <c r="AH373">
        <f t="shared" si="333"/>
        <v>44.018892554297814</v>
      </c>
      <c r="AI373">
        <f t="shared" si="334"/>
        <v>1.5480768539453289</v>
      </c>
      <c r="AJ373" t="str">
        <f t="shared" si="316"/>
        <v>1+0.838238711032647i</v>
      </c>
      <c r="AK373">
        <f t="shared" si="335"/>
        <v>1.3048540671943638</v>
      </c>
      <c r="AL373">
        <f t="shared" si="336"/>
        <v>0.69762627790223375</v>
      </c>
      <c r="AM373" t="str">
        <f t="shared" si="317"/>
        <v>1-0.10792834335026i</v>
      </c>
      <c r="AN373">
        <f t="shared" si="337"/>
        <v>1.0058074006977338</v>
      </c>
      <c r="AO373">
        <f t="shared" si="338"/>
        <v>-0.10751217936825889</v>
      </c>
      <c r="AP373" s="41" t="str">
        <f t="shared" si="339"/>
        <v>1.23982224565417-1.76325264743585i</v>
      </c>
      <c r="AQ373">
        <f t="shared" si="340"/>
        <v>6.670996857620918</v>
      </c>
      <c r="AR373" s="43">
        <f t="shared" si="341"/>
        <v>-54.887222815793798</v>
      </c>
      <c r="AS373" t="str">
        <f t="shared" si="318"/>
        <v>-0.0000166666666666667</v>
      </c>
      <c r="AT373" t="str">
        <f t="shared" si="319"/>
        <v>0.000757981813167818i</v>
      </c>
      <c r="AU373">
        <f t="shared" si="342"/>
        <v>7.5798181316781804E-4</v>
      </c>
      <c r="AV373">
        <f t="shared" si="343"/>
        <v>1.5707963267948966</v>
      </c>
      <c r="AW373" t="str">
        <f t="shared" si="320"/>
        <v>1+0.757326119557814i</v>
      </c>
      <c r="AX373">
        <f t="shared" si="344"/>
        <v>1.2544093635510285</v>
      </c>
      <c r="AY373">
        <f t="shared" si="345"/>
        <v>0.64817336104238166</v>
      </c>
      <c r="AZ373" t="str">
        <f t="shared" si="321"/>
        <v>1+25.7490880649656i</v>
      </c>
      <c r="BA373">
        <f t="shared" si="346"/>
        <v>25.76849891199241</v>
      </c>
      <c r="BB373">
        <f t="shared" si="347"/>
        <v>1.5319795073979949</v>
      </c>
      <c r="BC373" s="41" t="str">
        <f t="shared" si="348"/>
        <v>-0.349227363574351+0.286467218561746i</v>
      </c>
      <c r="BD373">
        <f t="shared" si="349"/>
        <v>-6.9032040505428647</v>
      </c>
      <c r="BE373" s="43">
        <f t="shared" si="350"/>
        <v>140.63836209389817</v>
      </c>
      <c r="BF373" s="41" t="str">
        <f t="shared" si="351"/>
        <v>0.153048348243293+0.167454838261418i</v>
      </c>
      <c r="BG373" s="20">
        <f t="shared" si="352"/>
        <v>-12.884887000289339</v>
      </c>
      <c r="BH373" s="43">
        <f t="shared" si="353"/>
        <v>47.573689949755277</v>
      </c>
      <c r="BI373" s="41" t="str">
        <f t="shared" si="357"/>
        <v>0.0721342273819457+0.970944503603044i</v>
      </c>
      <c r="BJ373" s="20">
        <f t="shared" si="354"/>
        <v>-0.23220719292195058</v>
      </c>
      <c r="BK373" s="43">
        <f t="shared" si="358"/>
        <v>85.751139278104375</v>
      </c>
      <c r="BL373">
        <f t="shared" si="355"/>
        <v>-12.884887000289339</v>
      </c>
      <c r="BM373" s="43">
        <f t="shared" si="356"/>
        <v>47.573689949755277</v>
      </c>
    </row>
    <row r="374" spans="14:65" x14ac:dyDescent="0.25">
      <c r="N374" s="9">
        <v>56</v>
      </c>
      <c r="O374" s="34">
        <f t="shared" si="308"/>
        <v>36307.805477010232</v>
      </c>
      <c r="P374" s="33" t="str">
        <f t="shared" si="309"/>
        <v>19.6196196196196</v>
      </c>
      <c r="Q374" s="4" t="str">
        <f t="shared" si="310"/>
        <v>1+55.2201544685339i</v>
      </c>
      <c r="R374" s="4">
        <f t="shared" si="322"/>
        <v>55.22920839129187</v>
      </c>
      <c r="S374" s="4">
        <f t="shared" si="323"/>
        <v>1.5526889760425491</v>
      </c>
      <c r="T374" s="4" t="str">
        <f t="shared" si="311"/>
        <v>1+0.857763798858158i</v>
      </c>
      <c r="U374" s="4">
        <f t="shared" si="324"/>
        <v>1.3174819674787122</v>
      </c>
      <c r="V374" s="4">
        <f t="shared" si="325"/>
        <v>0.70898411695494357</v>
      </c>
      <c r="W374" t="str">
        <f t="shared" si="312"/>
        <v>1-0.499031465426124i</v>
      </c>
      <c r="X374" s="4">
        <f t="shared" si="326"/>
        <v>1.1176011826610353</v>
      </c>
      <c r="Y374" s="4">
        <f t="shared" si="327"/>
        <v>-0.46287248120165436</v>
      </c>
      <c r="Z374" t="str">
        <f t="shared" si="313"/>
        <v>0.998681743261444+0.334045552366874i</v>
      </c>
      <c r="AA374" s="4">
        <f t="shared" si="328"/>
        <v>1.0530677354186704</v>
      </c>
      <c r="AB374" s="4">
        <f t="shared" si="329"/>
        <v>0.32278803740404433</v>
      </c>
      <c r="AC374" s="47" t="str">
        <f t="shared" si="330"/>
        <v>-0.029074807797576-0.495851551553681i</v>
      </c>
      <c r="AD374" s="20">
        <f t="shared" si="331"/>
        <v>-6.0780601945759045</v>
      </c>
      <c r="AE374" s="43">
        <f t="shared" si="332"/>
        <v>-93.355759426565712</v>
      </c>
      <c r="AF374" t="str">
        <f t="shared" si="314"/>
        <v>72.2956529813786</v>
      </c>
      <c r="AG374" t="str">
        <f t="shared" si="315"/>
        <v>1+45.0325994400534i</v>
      </c>
      <c r="AH374">
        <f t="shared" si="333"/>
        <v>45.043701139319111</v>
      </c>
      <c r="AI374">
        <f t="shared" si="334"/>
        <v>1.5485938403688233</v>
      </c>
      <c r="AJ374" t="str">
        <f t="shared" si="316"/>
        <v>1+0.857763798858158i</v>
      </c>
      <c r="AK374">
        <f t="shared" si="335"/>
        <v>1.3174819674787122</v>
      </c>
      <c r="AL374">
        <f t="shared" si="336"/>
        <v>0.70898411695494357</v>
      </c>
      <c r="AM374" t="str">
        <f t="shared" si="317"/>
        <v>1-0.110442317418792i</v>
      </c>
      <c r="AN374">
        <f t="shared" si="337"/>
        <v>1.0060802679094911</v>
      </c>
      <c r="AO374">
        <f t="shared" si="338"/>
        <v>-0.1099965351012155</v>
      </c>
      <c r="AP374" s="41" t="str">
        <f t="shared" si="339"/>
        <v>1.23817174521292-1.72999775249493i</v>
      </c>
      <c r="AQ374">
        <f t="shared" si="340"/>
        <v>6.557108547684293</v>
      </c>
      <c r="AR374" s="43">
        <f t="shared" si="341"/>
        <v>-54.408430812123797</v>
      </c>
      <c r="AS374" t="str">
        <f t="shared" si="318"/>
        <v>-0.0000166666666666667</v>
      </c>
      <c r="AT374" t="str">
        <f t="shared" si="319"/>
        <v>0.00077563747769089i</v>
      </c>
      <c r="AU374">
        <f t="shared" si="342"/>
        <v>7.7563747769089002E-4</v>
      </c>
      <c r="AV374">
        <f t="shared" si="343"/>
        <v>1.5707963267948966</v>
      </c>
      <c r="AW374" t="str">
        <f t="shared" si="320"/>
        <v>1+0.774966511014687i</v>
      </c>
      <c r="AX374">
        <f t="shared" si="344"/>
        <v>1.2651375787614076</v>
      </c>
      <c r="AY374">
        <f t="shared" si="345"/>
        <v>0.65928914555060891</v>
      </c>
      <c r="AZ374" t="str">
        <f t="shared" si="321"/>
        <v>1+26.3488613744993i</v>
      </c>
      <c r="BA374">
        <f t="shared" si="346"/>
        <v>26.367830698269078</v>
      </c>
      <c r="BB374">
        <f t="shared" si="347"/>
        <v>1.5328622288272928</v>
      </c>
      <c r="BC374" s="41" t="str">
        <f t="shared" si="348"/>
        <v>-0.343329663474847+0.287556693026139i</v>
      </c>
      <c r="BD374">
        <f t="shared" si="349"/>
        <v>-6.9774678033559674</v>
      </c>
      <c r="BE374" s="43">
        <f t="shared" si="350"/>
        <v>140.05205076798421</v>
      </c>
      <c r="BF374" s="41" t="str">
        <f t="shared" si="351"/>
        <v>0.152567676373394+0.161879890747764i</v>
      </c>
      <c r="BG374" s="20">
        <f t="shared" si="352"/>
        <v>-13.055527997931893</v>
      </c>
      <c r="BH374" s="43">
        <f t="shared" si="353"/>
        <v>46.696291341418473</v>
      </c>
      <c r="BI374" s="41" t="str">
        <f t="shared" si="357"/>
        <v>0.0723713440420792+0.950004118628156i</v>
      </c>
      <c r="BJ374" s="20">
        <f t="shared" si="354"/>
        <v>-0.42035925567167837</v>
      </c>
      <c r="BK374" s="43">
        <f t="shared" si="358"/>
        <v>85.64361995586043</v>
      </c>
      <c r="BL374">
        <f t="shared" si="355"/>
        <v>-13.055527997931893</v>
      </c>
      <c r="BM374" s="43">
        <f t="shared" si="356"/>
        <v>46.696291341418473</v>
      </c>
    </row>
    <row r="375" spans="14:65" x14ac:dyDescent="0.25">
      <c r="N375" s="9">
        <v>57</v>
      </c>
      <c r="O375" s="34">
        <f t="shared" si="308"/>
        <v>37153.522909717351</v>
      </c>
      <c r="P375" s="33" t="str">
        <f t="shared" si="309"/>
        <v>19.6196196196196</v>
      </c>
      <c r="Q375" s="4" t="str">
        <f t="shared" si="310"/>
        <v>1+56.5063971003116i</v>
      </c>
      <c r="R375" s="4">
        <f t="shared" si="322"/>
        <v>56.51524496326725</v>
      </c>
      <c r="S375" s="4">
        <f t="shared" si="323"/>
        <v>1.5531010626300008</v>
      </c>
      <c r="T375" s="4" t="str">
        <f t="shared" si="311"/>
        <v>1+0.877743684403672i</v>
      </c>
      <c r="U375" s="4">
        <f t="shared" si="324"/>
        <v>1.3305765575533537</v>
      </c>
      <c r="V375" s="4">
        <f t="shared" si="325"/>
        <v>0.72038183349158413</v>
      </c>
      <c r="W375" t="str">
        <f t="shared" si="312"/>
        <v>1-0.510655401498148i</v>
      </c>
      <c r="X375" s="4">
        <f t="shared" si="326"/>
        <v>1.1228396764806785</v>
      </c>
      <c r="Y375" s="4">
        <f t="shared" si="327"/>
        <v>-0.47213554852502521</v>
      </c>
      <c r="Z375" t="str">
        <f t="shared" si="313"/>
        <v>0.998619615735397+0.341826472839576i</v>
      </c>
      <c r="AA375" s="4">
        <f t="shared" si="328"/>
        <v>1.0555029485820764</v>
      </c>
      <c r="AB375" s="4">
        <f t="shared" si="329"/>
        <v>0.32979781481997428</v>
      </c>
      <c r="AC375" s="47" t="str">
        <f t="shared" si="330"/>
        <v>-0.0313567804398522-0.490384900194558i</v>
      </c>
      <c r="AD375" s="20">
        <f t="shared" si="331"/>
        <v>-6.1715372809800382</v>
      </c>
      <c r="AE375" s="43">
        <f t="shared" si="332"/>
        <v>-93.658694519418248</v>
      </c>
      <c r="AF375" t="str">
        <f t="shared" si="314"/>
        <v>72.2956529813786</v>
      </c>
      <c r="AG375" t="str">
        <f t="shared" si="315"/>
        <v>1+46.0815434311928i</v>
      </c>
      <c r="AH375">
        <f t="shared" si="333"/>
        <v>46.092392485104398</v>
      </c>
      <c r="AI375">
        <f t="shared" si="334"/>
        <v>1.5490990702149385</v>
      </c>
      <c r="AJ375" t="str">
        <f t="shared" si="316"/>
        <v>1+0.877743684403672i</v>
      </c>
      <c r="AK375">
        <f t="shared" si="335"/>
        <v>1.3305765575533537</v>
      </c>
      <c r="AL375">
        <f t="shared" si="336"/>
        <v>0.72038183349158413</v>
      </c>
      <c r="AM375" t="str">
        <f t="shared" si="317"/>
        <v>1-0.113014849465896i</v>
      </c>
      <c r="AN375">
        <f t="shared" si="337"/>
        <v>1.0063659156588121</v>
      </c>
      <c r="AO375">
        <f t="shared" si="338"/>
        <v>-0.11253734814478698</v>
      </c>
      <c r="AP375" s="41" t="str">
        <f t="shared" si="339"/>
        <v>1.23659545794918-1.69765682678558i</v>
      </c>
      <c r="AQ375">
        <f t="shared" si="340"/>
        <v>6.4455744070160126</v>
      </c>
      <c r="AR375" s="43">
        <f t="shared" si="341"/>
        <v>-53.929915160282903</v>
      </c>
      <c r="AS375" t="str">
        <f t="shared" si="318"/>
        <v>-0.0000166666666666667</v>
      </c>
      <c r="AT375" t="str">
        <f t="shared" si="319"/>
        <v>0.000793704395471407i</v>
      </c>
      <c r="AU375">
        <f t="shared" si="342"/>
        <v>7.9370439547140703E-4</v>
      </c>
      <c r="AV375">
        <f t="shared" si="343"/>
        <v>1.5707963267948966</v>
      </c>
      <c r="AW375" t="str">
        <f t="shared" si="320"/>
        <v>1+0.793017799973595i</v>
      </c>
      <c r="AX375">
        <f t="shared" si="344"/>
        <v>1.2762747474877658</v>
      </c>
      <c r="AY375">
        <f t="shared" si="345"/>
        <v>0.67046897898358382</v>
      </c>
      <c r="AZ375" t="str">
        <f t="shared" si="321"/>
        <v>1+26.9626051991022i</v>
      </c>
      <c r="BA375">
        <f t="shared" si="346"/>
        <v>26.981143028468104</v>
      </c>
      <c r="BB375">
        <f t="shared" si="347"/>
        <v>1.5337249142181246</v>
      </c>
      <c r="BC375" s="41" t="str">
        <f t="shared" si="348"/>
        <v>-0.337363805552512+0.288534084661584i</v>
      </c>
      <c r="BD375">
        <f t="shared" si="349"/>
        <v>-7.0538773588308379</v>
      </c>
      <c r="BE375" s="43">
        <f t="shared" si="350"/>
        <v>139.46092172855779</v>
      </c>
      <c r="BF375" s="41" t="str">
        <f t="shared" si="351"/>
        <v>0.152071401088562+0.156390616172978i</v>
      </c>
      <c r="BG375" s="20">
        <f t="shared" si="352"/>
        <v>-13.225414639810875</v>
      </c>
      <c r="BH375" s="43">
        <f t="shared" si="353"/>
        <v>45.802227209139588</v>
      </c>
      <c r="BI375" s="41" t="str">
        <f t="shared" si="357"/>
        <v>0.0726493089633798+0.929527906162624i</v>
      </c>
      <c r="BJ375" s="20">
        <f t="shared" si="354"/>
        <v>-0.60830295181482441</v>
      </c>
      <c r="BK375" s="43">
        <f t="shared" si="358"/>
        <v>85.531006568274904</v>
      </c>
      <c r="BL375">
        <f t="shared" si="355"/>
        <v>-13.225414639810875</v>
      </c>
      <c r="BM375" s="43">
        <f t="shared" si="356"/>
        <v>45.802227209139588</v>
      </c>
    </row>
    <row r="376" spans="14:65" x14ac:dyDescent="0.25">
      <c r="N376" s="9">
        <v>58</v>
      </c>
      <c r="O376" s="34">
        <f t="shared" si="308"/>
        <v>38018.939632056143</v>
      </c>
      <c r="P376" s="33" t="str">
        <f t="shared" si="309"/>
        <v>19.6196196196196</v>
      </c>
      <c r="Q376" s="4" t="str">
        <f t="shared" si="310"/>
        <v>1+57.8226001717823i</v>
      </c>
      <c r="R376" s="4">
        <f t="shared" si="322"/>
        <v>57.831246663251164</v>
      </c>
      <c r="S376" s="4">
        <f t="shared" si="323"/>
        <v>1.5535037747894411</v>
      </c>
      <c r="T376" s="4" t="str">
        <f t="shared" si="311"/>
        <v>1+0.898188961268967i</v>
      </c>
      <c r="U376" s="4">
        <f t="shared" si="324"/>
        <v>1.3441515577290479</v>
      </c>
      <c r="V376" s="4">
        <f t="shared" si="325"/>
        <v>0.73181362639135372</v>
      </c>
      <c r="W376" t="str">
        <f t="shared" si="312"/>
        <v>1-0.522550093823369i</v>
      </c>
      <c r="X376" s="4">
        <f t="shared" si="326"/>
        <v>1.1282989854443777</v>
      </c>
      <c r="Y376" s="4">
        <f t="shared" si="327"/>
        <v>-0.4815245119123277</v>
      </c>
      <c r="Z376" t="str">
        <f t="shared" si="313"/>
        <v>0.998554560229254+0.349788634232786i</v>
      </c>
      <c r="AA376" s="4">
        <f t="shared" si="328"/>
        <v>1.0580469263662537</v>
      </c>
      <c r="AB376" s="4">
        <f t="shared" si="329"/>
        <v>0.33693756983079653</v>
      </c>
      <c r="AC376" s="47" t="str">
        <f t="shared" si="330"/>
        <v>-0.0337000648085676-0.485121102904585i</v>
      </c>
      <c r="AD376" s="20">
        <f t="shared" si="331"/>
        <v>-6.2620892782944102</v>
      </c>
      <c r="AE376" s="43">
        <f t="shared" si="332"/>
        <v>-93.973800546061099</v>
      </c>
      <c r="AF376" t="str">
        <f t="shared" si="314"/>
        <v>72.2956529813786</v>
      </c>
      <c r="AG376" t="str">
        <f t="shared" si="315"/>
        <v>1+47.1549204666208i</v>
      </c>
      <c r="AH376">
        <f t="shared" si="333"/>
        <v>47.16552262207356</v>
      </c>
      <c r="AI376">
        <f t="shared" si="334"/>
        <v>1.5495928103309262</v>
      </c>
      <c r="AJ376" t="str">
        <f t="shared" si="316"/>
        <v>1+0.898188961268967i</v>
      </c>
      <c r="AK376">
        <f t="shared" si="335"/>
        <v>1.3441515577290479</v>
      </c>
      <c r="AL376">
        <f t="shared" si="336"/>
        <v>0.73181362639135372</v>
      </c>
      <c r="AM376" t="str">
        <f t="shared" si="317"/>
        <v>1-0.115647303482116i</v>
      </c>
      <c r="AN376">
        <f t="shared" si="337"/>
        <v>1.006664938697422</v>
      </c>
      <c r="AO376">
        <f t="shared" si="338"/>
        <v>-0.115135834378091</v>
      </c>
      <c r="AP376" s="41" t="str">
        <f t="shared" si="339"/>
        <v>1.2350900500136-1.66621294267497i</v>
      </c>
      <c r="AQ376">
        <f t="shared" si="340"/>
        <v>6.3364143212905883</v>
      </c>
      <c r="AR376" s="43">
        <f t="shared" si="341"/>
        <v>-53.452093193971919</v>
      </c>
      <c r="AS376" t="str">
        <f t="shared" si="318"/>
        <v>-0.0000166666666666667</v>
      </c>
      <c r="AT376" t="str">
        <f t="shared" si="319"/>
        <v>0.000812192145828322i</v>
      </c>
      <c r="AU376">
        <f t="shared" si="342"/>
        <v>8.1219214582832196E-4</v>
      </c>
      <c r="AV376">
        <f t="shared" si="343"/>
        <v>1.5707963267948966</v>
      </c>
      <c r="AW376" t="str">
        <f t="shared" si="320"/>
        <v>1+0.81148955746688i</v>
      </c>
      <c r="AX376">
        <f t="shared" si="344"/>
        <v>1.2878335691687</v>
      </c>
      <c r="AY376">
        <f t="shared" si="345"/>
        <v>0.68170761078173148</v>
      </c>
      <c r="AZ376" t="str">
        <f t="shared" si="321"/>
        <v>1+27.5906449538739i</v>
      </c>
      <c r="BA376">
        <f t="shared" si="346"/>
        <v>27.6087610908336</v>
      </c>
      <c r="BB376">
        <f t="shared" si="347"/>
        <v>1.5345680158385078</v>
      </c>
      <c r="BC376" s="41" t="str">
        <f t="shared" si="348"/>
        <v>-0.331335032502329+0.289395514612636i</v>
      </c>
      <c r="BD376">
        <f t="shared" si="349"/>
        <v>-7.1324571705919642</v>
      </c>
      <c r="BE376" s="43">
        <f t="shared" si="350"/>
        <v>138.86530172357109</v>
      </c>
      <c r="BF376" s="41" t="str">
        <f t="shared" si="351"/>
        <v>0.151557883293199+0.150984968800702i</v>
      </c>
      <c r="BG376" s="20">
        <f t="shared" si="352"/>
        <v>-13.394546448886375</v>
      </c>
      <c r="BH376" s="43">
        <f t="shared" si="353"/>
        <v>44.891501177510079</v>
      </c>
      <c r="BI376" s="41" t="str">
        <f t="shared" si="357"/>
        <v>0.0729659501350983+0.909504240133645i</v>
      </c>
      <c r="BJ376" s="20">
        <f t="shared" si="354"/>
        <v>-0.79604284930137326</v>
      </c>
      <c r="BK376" s="43">
        <f t="shared" si="358"/>
        <v>85.41320852959916</v>
      </c>
      <c r="BL376">
        <f t="shared" si="355"/>
        <v>-13.394546448886375</v>
      </c>
      <c r="BM376" s="43">
        <f t="shared" si="356"/>
        <v>44.891501177510079</v>
      </c>
    </row>
    <row r="377" spans="14:65" x14ac:dyDescent="0.25">
      <c r="N377" s="9">
        <v>59</v>
      </c>
      <c r="O377" s="34">
        <f t="shared" si="308"/>
        <v>38904.514499428085</v>
      </c>
      <c r="P377" s="33" t="str">
        <f t="shared" si="309"/>
        <v>19.6196196196196</v>
      </c>
      <c r="Q377" s="4" t="str">
        <f t="shared" si="310"/>
        <v>1+59.1694615512368i</v>
      </c>
      <c r="R377" s="4">
        <f t="shared" si="322"/>
        <v>59.177911252960676</v>
      </c>
      <c r="S377" s="4">
        <f t="shared" si="323"/>
        <v>1.5538973255214028</v>
      </c>
      <c r="T377" s="4" t="str">
        <f t="shared" si="311"/>
        <v>1+0.919110469810464i</v>
      </c>
      <c r="U377" s="4">
        <f t="shared" si="324"/>
        <v>1.3582209156522409</v>
      </c>
      <c r="V377" s="4">
        <f t="shared" si="325"/>
        <v>0.74327360609474047</v>
      </c>
      <c r="W377" t="str">
        <f t="shared" si="312"/>
        <v>1-0.534721849125105i</v>
      </c>
      <c r="X377" s="4">
        <f t="shared" si="326"/>
        <v>1.1339874143621576</v>
      </c>
      <c r="Y377" s="4">
        <f t="shared" si="327"/>
        <v>-0.49103772733717166</v>
      </c>
      <c r="Z377" t="str">
        <f t="shared" si="313"/>
        <v>0.998486438751564+0.357936258189866i</v>
      </c>
      <c r="AA377" s="4">
        <f t="shared" si="328"/>
        <v>1.0607042628827996</v>
      </c>
      <c r="AB377" s="4">
        <f t="shared" si="329"/>
        <v>0.34420829037879463</v>
      </c>
      <c r="AC377" s="47" t="str">
        <f t="shared" si="330"/>
        <v>-0.0361071661973112-0.480054216210951i</v>
      </c>
      <c r="AD377" s="20">
        <f t="shared" si="331"/>
        <v>-6.3496942956017142</v>
      </c>
      <c r="AE377" s="43">
        <f t="shared" si="332"/>
        <v>-94.301389566578834</v>
      </c>
      <c r="AF377" t="str">
        <f t="shared" si="314"/>
        <v>72.2956529813786</v>
      </c>
      <c r="AG377" t="str">
        <f t="shared" si="315"/>
        <v>1+48.2532996650494i</v>
      </c>
      <c r="AH377">
        <f t="shared" si="333"/>
        <v>48.263660538391164</v>
      </c>
      <c r="AI377">
        <f t="shared" si="334"/>
        <v>1.5500753215408705</v>
      </c>
      <c r="AJ377" t="str">
        <f t="shared" si="316"/>
        <v>1+0.919110469810464i</v>
      </c>
      <c r="AK377">
        <f t="shared" si="335"/>
        <v>1.3582209156522409</v>
      </c>
      <c r="AL377">
        <f t="shared" si="336"/>
        <v>0.74327360609474047</v>
      </c>
      <c r="AM377" t="str">
        <f t="shared" si="317"/>
        <v>1-0.118341075229415i</v>
      </c>
      <c r="AN377">
        <f t="shared" si="337"/>
        <v>1.0069779590867192</v>
      </c>
      <c r="AO377">
        <f t="shared" si="338"/>
        <v>-0.11779323111447734</v>
      </c>
      <c r="AP377" s="41" t="str">
        <f t="shared" si="339"/>
        <v>1.23365233705151-1.63564963349491i</v>
      </c>
      <c r="AQ377">
        <f t="shared" si="340"/>
        <v>6.2296461141351687</v>
      </c>
      <c r="AR377" s="43">
        <f t="shared" si="341"/>
        <v>-52.975388197046684</v>
      </c>
      <c r="AS377" t="str">
        <f t="shared" si="318"/>
        <v>-0.0000166666666666667</v>
      </c>
      <c r="AT377" t="str">
        <f t="shared" si="319"/>
        <v>0.00083111053121159i</v>
      </c>
      <c r="AU377">
        <f t="shared" si="342"/>
        <v>8.3111053121159005E-4</v>
      </c>
      <c r="AV377">
        <f t="shared" si="343"/>
        <v>1.5707963267948966</v>
      </c>
      <c r="AW377" t="str">
        <f t="shared" si="320"/>
        <v>1+0.830391577464869i</v>
      </c>
      <c r="AX377">
        <f t="shared" si="344"/>
        <v>1.2998269776876434</v>
      </c>
      <c r="AY377">
        <f t="shared" si="345"/>
        <v>0.69299964433654726</v>
      </c>
      <c r="AZ377" t="str">
        <f t="shared" si="321"/>
        <v>1+28.2333136338055i</v>
      </c>
      <c r="BA377">
        <f t="shared" si="346"/>
        <v>28.251017658569889</v>
      </c>
      <c r="BB377">
        <f t="shared" si="347"/>
        <v>1.5353919759149937</v>
      </c>
      <c r="BC377" s="41" t="str">
        <f t="shared" si="348"/>
        <v>-0.325248832846032+0.290137381303577i</v>
      </c>
      <c r="BD377">
        <f t="shared" si="349"/>
        <v>-7.2132297123451474</v>
      </c>
      <c r="BE377" s="43">
        <f t="shared" si="350"/>
        <v>138.26552529362991</v>
      </c>
      <c r="BF377" s="41" t="str">
        <f t="shared" si="351"/>
        <v>0.15102548683824+0.145661034878648i</v>
      </c>
      <c r="BG377" s="20">
        <f t="shared" si="352"/>
        <v>-13.56292400794684</v>
      </c>
      <c r="BH377" s="43">
        <f t="shared" si="353"/>
        <v>43.964135727051115</v>
      </c>
      <c r="BI377" s="41" t="str">
        <f t="shared" si="357"/>
        <v>0.0733191186285854+0.889921792750422i</v>
      </c>
      <c r="BJ377" s="20">
        <f t="shared" si="354"/>
        <v>-0.98358359820998253</v>
      </c>
      <c r="BK377" s="43">
        <f t="shared" si="358"/>
        <v>85.290137096583237</v>
      </c>
      <c r="BL377">
        <f t="shared" si="355"/>
        <v>-13.56292400794684</v>
      </c>
      <c r="BM377" s="43">
        <f t="shared" si="356"/>
        <v>43.964135727051115</v>
      </c>
    </row>
    <row r="378" spans="14:65" x14ac:dyDescent="0.25">
      <c r="N378" s="9">
        <v>60</v>
      </c>
      <c r="O378" s="34">
        <f t="shared" si="308"/>
        <v>39810.717055349742</v>
      </c>
      <c r="P378" s="33" t="str">
        <f t="shared" si="309"/>
        <v>19.6196196196196</v>
      </c>
      <c r="Q378" s="4" t="str">
        <f t="shared" si="310"/>
        <v>1+60.547695362406i</v>
      </c>
      <c r="R378" s="4">
        <f t="shared" si="322"/>
        <v>60.555952751969158</v>
      </c>
      <c r="S378" s="4">
        <f t="shared" si="323"/>
        <v>1.554281923003781</v>
      </c>
      <c r="T378" s="4" t="str">
        <f t="shared" si="311"/>
        <v>1+0.940519302888917i</v>
      </c>
      <c r="U378" s="4">
        <f t="shared" si="324"/>
        <v>1.3727988050354116</v>
      </c>
      <c r="V378" s="4">
        <f t="shared" si="325"/>
        <v>0.75475580940809406</v>
      </c>
      <c r="W378" t="str">
        <f t="shared" si="312"/>
        <v>1-0.547177121029125i</v>
      </c>
      <c r="X378" s="4">
        <f t="shared" si="326"/>
        <v>1.1399135062704195</v>
      </c>
      <c r="Y378" s="4">
        <f t="shared" si="327"/>
        <v>-0.50067335032887583</v>
      </c>
      <c r="Z378" t="str">
        <f t="shared" si="313"/>
        <v>0.998415106807539+0.366273664688883i</v>
      </c>
      <c r="AA378" s="4">
        <f t="shared" si="328"/>
        <v>1.0634797238058344</v>
      </c>
      <c r="AB378" s="4">
        <f t="shared" si="329"/>
        <v>0.35161087766057386</v>
      </c>
      <c r="AC378" s="47" t="str">
        <f t="shared" si="330"/>
        <v>-0.0385805402675689-0.475178258612351i</v>
      </c>
      <c r="AD378" s="20">
        <f t="shared" si="331"/>
        <v>-6.4343336106110858</v>
      </c>
      <c r="AE378" s="43">
        <f t="shared" si="332"/>
        <v>-94.641761128891204</v>
      </c>
      <c r="AF378" t="str">
        <f t="shared" si="314"/>
        <v>72.2956529813786</v>
      </c>
      <c r="AG378" t="str">
        <f t="shared" si="315"/>
        <v>1+49.3772634016682i</v>
      </c>
      <c r="AH378">
        <f t="shared" si="333"/>
        <v>49.387388481653105</v>
      </c>
      <c r="AI378">
        <f t="shared" si="334"/>
        <v>1.5505468587793916</v>
      </c>
      <c r="AJ378" t="str">
        <f t="shared" si="316"/>
        <v>1+0.940519302888917i</v>
      </c>
      <c r="AK378">
        <f t="shared" si="335"/>
        <v>1.3727988050354116</v>
      </c>
      <c r="AL378">
        <f t="shared" si="336"/>
        <v>0.75475580940809406</v>
      </c>
      <c r="AM378" t="str">
        <f t="shared" si="317"/>
        <v>1-0.12109759298123i</v>
      </c>
      <c r="AN378">
        <f t="shared" si="337"/>
        <v>1.0073056274169463</v>
      </c>
      <c r="AO378">
        <f t="shared" si="338"/>
        <v>-0.12051079713279905</v>
      </c>
      <c r="AP378" s="41" t="str">
        <f t="shared" si="339"/>
        <v>1.23227927752321-1.60595088578697i</v>
      </c>
      <c r="AQ378">
        <f t="shared" si="340"/>
        <v>6.1252855057167066</v>
      </c>
      <c r="AR378" s="43">
        <f t="shared" si="341"/>
        <v>-52.500228564728964</v>
      </c>
      <c r="AS378" t="str">
        <f t="shared" si="318"/>
        <v>-0.0000166666666666667</v>
      </c>
      <c r="AT378" t="str">
        <f t="shared" si="319"/>
        <v>0.000850469582399555i</v>
      </c>
      <c r="AU378">
        <f t="shared" si="342"/>
        <v>8.5046958239955498E-4</v>
      </c>
      <c r="AV378">
        <f t="shared" si="343"/>
        <v>1.5707963267948966</v>
      </c>
      <c r="AW378" t="str">
        <f t="shared" si="320"/>
        <v>1+0.84973388206876i</v>
      </c>
      <c r="AX378">
        <f t="shared" si="344"/>
        <v>1.312268139648161</v>
      </c>
      <c r="AY378">
        <f t="shared" si="345"/>
        <v>0.70433954878180749</v>
      </c>
      <c r="AZ378" t="str">
        <f t="shared" si="321"/>
        <v>1+28.8909519903378i</v>
      </c>
      <c r="BA378">
        <f t="shared" si="346"/>
        <v>28.908253266290647</v>
      </c>
      <c r="BB378">
        <f t="shared" si="347"/>
        <v>1.5361972268444064</v>
      </c>
      <c r="BC378" s="41" t="str">
        <f t="shared" si="348"/>
        <v>-0.319110922954984+0.290756380140741i</v>
      </c>
      <c r="BD378">
        <f t="shared" si="349"/>
        <v>-7.2962153928052267</v>
      </c>
      <c r="BE378" s="43">
        <f t="shared" si="350"/>
        <v>137.66193410853927</v>
      </c>
      <c r="BF378" s="41" t="str">
        <f t="shared" si="351"/>
        <v>0.150472582208594+0.140417034441857i</v>
      </c>
      <c r="BG378" s="20">
        <f t="shared" si="352"/>
        <v>-13.730549003416311</v>
      </c>
      <c r="BH378" s="43">
        <f t="shared" si="353"/>
        <v>43.020172979648066</v>
      </c>
      <c r="BI378" s="41" t="str">
        <f t="shared" si="357"/>
        <v>0.0737066886465035+0.87076953143895i</v>
      </c>
      <c r="BJ378" s="20">
        <f t="shared" si="354"/>
        <v>-1.1709298870885236</v>
      </c>
      <c r="BK378" s="43">
        <f t="shared" si="358"/>
        <v>85.161705543810328</v>
      </c>
      <c r="BL378">
        <f t="shared" si="355"/>
        <v>-13.730549003416311</v>
      </c>
      <c r="BM378" s="43">
        <f t="shared" si="356"/>
        <v>43.020172979648066</v>
      </c>
    </row>
    <row r="379" spans="14:65" x14ac:dyDescent="0.25">
      <c r="N379" s="9">
        <v>61</v>
      </c>
      <c r="O379" s="34">
        <f t="shared" si="308"/>
        <v>40738.027780411358</v>
      </c>
      <c r="P379" s="33" t="str">
        <f t="shared" si="309"/>
        <v>19.6196196196196</v>
      </c>
      <c r="Q379" s="4" t="str">
        <f t="shared" si="310"/>
        <v>1+61.9580323631i</v>
      </c>
      <c r="R379" s="4">
        <f t="shared" si="322"/>
        <v>61.966101816291037</v>
      </c>
      <c r="S379" s="4">
        <f t="shared" si="323"/>
        <v>1.5546577706998883</v>
      </c>
      <c r="T379" s="4" t="str">
        <f t="shared" si="311"/>
        <v>1+0.96242681175101i</v>
      </c>
      <c r="U379" s="4">
        <f t="shared" si="324"/>
        <v>1.3878996246044646</v>
      </c>
      <c r="V379" s="4">
        <f t="shared" si="325"/>
        <v>0.76625421477407696</v>
      </c>
      <c r="W379" t="str">
        <f t="shared" si="312"/>
        <v>1-0.559922513485462i</v>
      </c>
      <c r="X379" s="4">
        <f t="shared" si="326"/>
        <v>1.146086044373579</v>
      </c>
      <c r="Y379" s="4">
        <f t="shared" si="327"/>
        <v>-0.51042933206129282</v>
      </c>
      <c r="Z379" t="str">
        <f t="shared" si="313"/>
        <v>0.998340413092562+0.374805274333125i</v>
      </c>
      <c r="AA379" s="4">
        <f t="shared" si="328"/>
        <v>1.06637825094183</v>
      </c>
      <c r="AB379" s="4">
        <f t="shared" si="329"/>
        <v>0.35914613981160243</v>
      </c>
      <c r="AC379" s="47" t="str">
        <f t="shared" si="330"/>
        <v>-0.0411225866911192-0.470487205377446i</v>
      </c>
      <c r="AD379" s="20">
        <f t="shared" si="331"/>
        <v>-6.5159917906747982</v>
      </c>
      <c r="AE379" s="43">
        <f t="shared" si="332"/>
        <v>-94.995200814069307</v>
      </c>
      <c r="AF379" t="str">
        <f t="shared" si="314"/>
        <v>72.2956529813786</v>
      </c>
      <c r="AG379" t="str">
        <f t="shared" si="315"/>
        <v>1+50.5274076169281i</v>
      </c>
      <c r="AH379">
        <f t="shared" si="333"/>
        <v>50.537302267604318</v>
      </c>
      <c r="AI379">
        <f t="shared" si="334"/>
        <v>1.5510076712225336</v>
      </c>
      <c r="AJ379" t="str">
        <f t="shared" si="316"/>
        <v>1+0.96242681175101i</v>
      </c>
      <c r="AK379">
        <f t="shared" si="335"/>
        <v>1.3878996246044646</v>
      </c>
      <c r="AL379">
        <f t="shared" si="336"/>
        <v>0.76625421477407696</v>
      </c>
      <c r="AM379" t="str">
        <f t="shared" si="317"/>
        <v>1-0.123918318279759i</v>
      </c>
      <c r="AN379">
        <f t="shared" si="337"/>
        <v>1.0076486240775024</v>
      </c>
      <c r="AO379">
        <f t="shared" si="338"/>
        <v>-0.12328981267883392</v>
      </c>
      <c r="AP379" s="41" t="str">
        <f t="shared" si="339"/>
        <v>1.23096796632054-1.57710113172302i</v>
      </c>
      <c r="AQ379">
        <f t="shared" si="340"/>
        <v>6.0233460809998141</v>
      </c>
      <c r="AR379" s="43">
        <f t="shared" si="341"/>
        <v>-52.027046936255857</v>
      </c>
      <c r="AS379" t="str">
        <f t="shared" si="318"/>
        <v>-0.0000166666666666667</v>
      </c>
      <c r="AT379" t="str">
        <f t="shared" si="319"/>
        <v>0.000870279563817405i</v>
      </c>
      <c r="AU379">
        <f t="shared" si="342"/>
        <v>8.7027956381740504E-4</v>
      </c>
      <c r="AV379">
        <f t="shared" si="343"/>
        <v>1.5707963267948966</v>
      </c>
      <c r="AW379" t="str">
        <f t="shared" si="320"/>
        <v>1+0.869526726824483i</v>
      </c>
      <c r="AX379">
        <f t="shared" si="344"/>
        <v>1.3251704526822574</v>
      </c>
      <c r="AY379">
        <f t="shared" si="345"/>
        <v>0.71572167158715849</v>
      </c>
      <c r="AZ379" t="str">
        <f t="shared" si="321"/>
        <v>1+29.5639087120324i</v>
      </c>
      <c r="BA379">
        <f t="shared" si="346"/>
        <v>29.580816390583024</v>
      </c>
      <c r="BB379">
        <f t="shared" si="347"/>
        <v>1.5369841914018767</v>
      </c>
      <c r="BC379" s="41" t="str">
        <f t="shared" si="348"/>
        <v>-0.312927227201486+0.291249521807821i</v>
      </c>
      <c r="BD379">
        <f t="shared" si="349"/>
        <v>-7.3814324774588611</v>
      </c>
      <c r="BE379" s="43">
        <f t="shared" si="350"/>
        <v>137.05487625766233</v>
      </c>
      <c r="BF379" s="41" t="str">
        <f t="shared" si="351"/>
        <v>0.149897550611484+0.135251322903251i</v>
      </c>
      <c r="BG379" s="20">
        <f t="shared" si="352"/>
        <v>-13.897424268133658</v>
      </c>
      <c r="BH379" s="43">
        <f t="shared" si="353"/>
        <v>42.059675443592972</v>
      </c>
      <c r="BI379" s="41" t="str">
        <f t="shared" si="357"/>
        <v>0.0741265579823641+0.852036715718013i</v>
      </c>
      <c r="BJ379" s="20">
        <f t="shared" si="354"/>
        <v>-1.3580863964590508</v>
      </c>
      <c r="BK379" s="43">
        <f t="shared" si="358"/>
        <v>85.027829321406472</v>
      </c>
      <c r="BL379">
        <f t="shared" si="355"/>
        <v>-13.897424268133658</v>
      </c>
      <c r="BM379" s="43">
        <f t="shared" si="356"/>
        <v>42.059675443592972</v>
      </c>
    </row>
    <row r="380" spans="14:65" x14ac:dyDescent="0.25">
      <c r="N380" s="9">
        <v>62</v>
      </c>
      <c r="O380" s="34">
        <f t="shared" si="308"/>
        <v>41686.938347033625</v>
      </c>
      <c r="P380" s="33" t="str">
        <f t="shared" si="309"/>
        <v>19.6196196196196</v>
      </c>
      <c r="Q380" s="4" t="str">
        <f t="shared" si="310"/>
        <v>1+63.4012203326646i</v>
      </c>
      <c r="R380" s="4">
        <f t="shared" si="322"/>
        <v>63.409106125785144</v>
      </c>
      <c r="S380" s="4">
        <f t="shared" si="323"/>
        <v>1.5550250674641619</v>
      </c>
      <c r="T380" s="4" t="str">
        <f t="shared" si="311"/>
        <v>1+0.984844612047919i</v>
      </c>
      <c r="U380" s="4">
        <f t="shared" si="324"/>
        <v>1.4035379973053155</v>
      </c>
      <c r="V380" s="4">
        <f t="shared" si="325"/>
        <v>0.77776275791422533</v>
      </c>
      <c r="W380" t="str">
        <f t="shared" si="312"/>
        <v>1-0.5729647842699i</v>
      </c>
      <c r="X380" s="4">
        <f t="shared" si="326"/>
        <v>1.1525140537162457</v>
      </c>
      <c r="Y380" s="4">
        <f t="shared" si="327"/>
        <v>-0.52030341602324726</v>
      </c>
      <c r="Z380" t="str">
        <f t="shared" si="313"/>
        <v>0.998262199171251+0.383535610694954i</v>
      </c>
      <c r="AA380" s="4">
        <f t="shared" si="328"/>
        <v>1.0694049667760916</v>
      </c>
      <c r="AB380" s="4">
        <f t="shared" si="329"/>
        <v>0.36681478544741586</v>
      </c>
      <c r="AC380" s="47" t="str">
        <f t="shared" si="330"/>
        <v>-0.043735642243965-0.465974983738622i</v>
      </c>
      <c r="AD380" s="20">
        <f t="shared" si="331"/>
        <v>-6.5946568051345489</v>
      </c>
      <c r="AE380" s="43">
        <f t="shared" si="332"/>
        <v>-95.3619787853075</v>
      </c>
      <c r="AF380" t="str">
        <f t="shared" si="314"/>
        <v>72.2956529813786</v>
      </c>
      <c r="AG380" t="str">
        <f t="shared" si="315"/>
        <v>1+51.7043421325158i</v>
      </c>
      <c r="AH380">
        <f t="shared" si="333"/>
        <v>51.714011596048593</v>
      </c>
      <c r="AI380">
        <f t="shared" si="334"/>
        <v>1.5514580024158831</v>
      </c>
      <c r="AJ380" t="str">
        <f t="shared" si="316"/>
        <v>1+0.984844612047919i</v>
      </c>
      <c r="AK380">
        <f t="shared" si="335"/>
        <v>1.4035379973053155</v>
      </c>
      <c r="AL380">
        <f t="shared" si="336"/>
        <v>0.77776275791422533</v>
      </c>
      <c r="AM380" t="str">
        <f t="shared" si="317"/>
        <v>1-0.126804746710894i</v>
      </c>
      <c r="AN380">
        <f t="shared" si="337"/>
        <v>1.0080076605802231</v>
      </c>
      <c r="AO380">
        <f t="shared" si="338"/>
        <v>-0.12613157943432407</v>
      </c>
      <c r="AP380" s="41" t="str">
        <f t="shared" si="339"/>
        <v>1.22971562866691-1.54908524170152i</v>
      </c>
      <c r="AQ380">
        <f t="shared" si="340"/>
        <v>5.923839268053098</v>
      </c>
      <c r="AR380" s="43">
        <f t="shared" si="341"/>
        <v>-51.556279304193289</v>
      </c>
      <c r="AS380" t="str">
        <f t="shared" si="318"/>
        <v>-0.0000166666666666667</v>
      </c>
      <c r="AT380" t="str">
        <f t="shared" si="319"/>
        <v>0.000890550978979502i</v>
      </c>
      <c r="AU380">
        <f t="shared" si="342"/>
        <v>8.90550978979502E-4</v>
      </c>
      <c r="AV380">
        <f t="shared" si="343"/>
        <v>1.5707963267948966</v>
      </c>
      <c r="AW380" t="str">
        <f t="shared" si="320"/>
        <v>1+0.889780606160317i</v>
      </c>
      <c r="AX380">
        <f t="shared" si="344"/>
        <v>1.3385475438321275</v>
      </c>
      <c r="AY380">
        <f t="shared" si="345"/>
        <v>0.72714025189071174</v>
      </c>
      <c r="AZ380" t="str">
        <f t="shared" si="321"/>
        <v>1+30.2525406094507i</v>
      </c>
      <c r="BA380">
        <f t="shared" si="346"/>
        <v>30.269063634781695</v>
      </c>
      <c r="BB380">
        <f t="shared" si="347"/>
        <v>1.5377532829451808</v>
      </c>
      <c r="BC380" s="41" t="str">
        <f t="shared" si="348"/>
        <v>-0.306703856368409+0.291614148952441i</v>
      </c>
      <c r="BD380">
        <f t="shared" si="349"/>
        <v>-7.4688970178222132</v>
      </c>
      <c r="BE380" s="43">
        <f t="shared" si="350"/>
        <v>136.44470549772814</v>
      </c>
      <c r="BF380" s="41" t="str">
        <f t="shared" si="351"/>
        <v>0.149298788453039+0.13016239239198i</v>
      </c>
      <c r="BG380" s="20">
        <f t="shared" si="352"/>
        <v>-14.063553822956754</v>
      </c>
      <c r="BH380" s="43">
        <f t="shared" si="353"/>
        <v>41.082726712420666</v>
      </c>
      <c r="BI380" s="41" t="str">
        <f t="shared" si="357"/>
        <v>0.0745766488649313+0.833712893980462i</v>
      </c>
      <c r="BJ380" s="20">
        <f t="shared" si="354"/>
        <v>-1.5450577497691156</v>
      </c>
      <c r="BK380" s="43">
        <f t="shared" si="358"/>
        <v>84.888426193534869</v>
      </c>
      <c r="BL380">
        <f t="shared" si="355"/>
        <v>-14.063553822956754</v>
      </c>
      <c r="BM380" s="43">
        <f t="shared" si="356"/>
        <v>41.082726712420666</v>
      </c>
    </row>
    <row r="381" spans="14:65" x14ac:dyDescent="0.25">
      <c r="N381" s="9">
        <v>63</v>
      </c>
      <c r="O381" s="34">
        <f t="shared" si="308"/>
        <v>42657.951880159271</v>
      </c>
      <c r="P381" s="33" t="str">
        <f t="shared" si="309"/>
        <v>19.6196196196196</v>
      </c>
      <c r="Q381" s="4" t="str">
        <f t="shared" si="310"/>
        <v>1+64.8780244684637i</v>
      </c>
      <c r="R381" s="4">
        <f t="shared" si="322"/>
        <v>64.885730780585149</v>
      </c>
      <c r="S381" s="4">
        <f t="shared" si="323"/>
        <v>1.5553840076455734</v>
      </c>
      <c r="T381" s="4" t="str">
        <f t="shared" si="311"/>
        <v>1+1.00778458999409i</v>
      </c>
      <c r="U381" s="4">
        <f t="shared" si="324"/>
        <v>1.4197287698111765</v>
      </c>
      <c r="V381" s="4">
        <f t="shared" si="325"/>
        <v>0.78927534774551578</v>
      </c>
      <c r="W381" t="str">
        <f t="shared" si="312"/>
        <v>1-0.586310848567043i</v>
      </c>
      <c r="X381" s="4">
        <f t="shared" si="326"/>
        <v>1.1592068025798528</v>
      </c>
      <c r="Y381" s="4">
        <f t="shared" si="327"/>
        <v>-0.53029313532530797</v>
      </c>
      <c r="Z381" t="str">
        <f t="shared" si="313"/>
        <v>0.99818029914139+0.392469302714265i</v>
      </c>
      <c r="AA381" s="4">
        <f t="shared" si="328"/>
        <v>1.0725651789830843</v>
      </c>
      <c r="AB381" s="4">
        <f t="shared" si="329"/>
        <v>0.3746174170799122</v>
      </c>
      <c r="AC381" s="47" t="str">
        <f t="shared" si="330"/>
        <v>-0.0464219733584266-0.461635468534161i</v>
      </c>
      <c r="AD381" s="20">
        <f t="shared" si="331"/>
        <v>-6.670320128223989</v>
      </c>
      <c r="AE381" s="43">
        <f t="shared" si="332"/>
        <v>-95.74234835036772</v>
      </c>
      <c r="AF381" t="str">
        <f t="shared" si="314"/>
        <v>72.2956529813786</v>
      </c>
      <c r="AG381" t="str">
        <f t="shared" si="315"/>
        <v>1+52.9086909746899i</v>
      </c>
      <c r="AH381">
        <f t="shared" si="333"/>
        <v>52.918140374121535</v>
      </c>
      <c r="AI381">
        <f t="shared" si="334"/>
        <v>1.55189809039997</v>
      </c>
      <c r="AJ381" t="str">
        <f t="shared" si="316"/>
        <v>1+1.00778458999409i</v>
      </c>
      <c r="AK381">
        <f t="shared" si="335"/>
        <v>1.4197287698111765</v>
      </c>
      <c r="AL381">
        <f t="shared" si="336"/>
        <v>0.78927534774551578</v>
      </c>
      <c r="AM381" t="str">
        <f t="shared" si="317"/>
        <v>1-0.129758408697194i</v>
      </c>
      <c r="AN381">
        <f t="shared" si="337"/>
        <v>1.0083834809374992</v>
      </c>
      <c r="AO381">
        <f t="shared" si="338"/>
        <v>-0.12903742045091876</v>
      </c>
      <c r="AP381" s="41" t="str">
        <f t="shared" si="339"/>
        <v>1.2285196142883-1.52188851711956i</v>
      </c>
      <c r="AQ381">
        <f t="shared" si="340"/>
        <v>5.8267743266967473</v>
      </c>
      <c r="AR381" s="43">
        <f t="shared" si="341"/>
        <v>-51.088364105884466</v>
      </c>
      <c r="AS381" t="str">
        <f t="shared" si="318"/>
        <v>-0.0000166666666666667</v>
      </c>
      <c r="AT381" t="str">
        <f t="shared" si="319"/>
        <v>0.000911294576058488i</v>
      </c>
      <c r="AU381">
        <f t="shared" si="342"/>
        <v>9.1129457605848801E-4</v>
      </c>
      <c r="AV381">
        <f t="shared" si="343"/>
        <v>1.5707963267948966</v>
      </c>
      <c r="AW381" t="str">
        <f t="shared" si="320"/>
        <v>1+0.910506258951174i</v>
      </c>
      <c r="AX381">
        <f t="shared" si="344"/>
        <v>1.3524132680468874</v>
      </c>
      <c r="AY381">
        <f t="shared" si="345"/>
        <v>0.73858943449913772</v>
      </c>
      <c r="AZ381" t="str">
        <f t="shared" si="321"/>
        <v>1+30.9572128043399i</v>
      </c>
      <c r="BA381">
        <f t="shared" si="346"/>
        <v>30.973359918051933</v>
      </c>
      <c r="BB381">
        <f t="shared" si="347"/>
        <v>1.538504905615403</v>
      </c>
      <c r="BC381" s="41" t="str">
        <f t="shared" si="348"/>
        <v>-0.300447084471411+0.291847951076059i</v>
      </c>
      <c r="BD381">
        <f t="shared" si="349"/>
        <v>-7.5586227888027739</v>
      </c>
      <c r="BE381" s="43">
        <f t="shared" si="350"/>
        <v>135.83178046218089</v>
      </c>
      <c r="BF381" s="41" t="str">
        <f t="shared" si="351"/>
        <v>0.14867471218668+0.125148872800118i</v>
      </c>
      <c r="BG381" s="20">
        <f t="shared" si="352"/>
        <v>-14.228942917026776</v>
      </c>
      <c r="BH381" s="43">
        <f t="shared" si="353"/>
        <v>40.089432111813139</v>
      </c>
      <c r="BI381" s="41" t="str">
        <f t="shared" si="357"/>
        <v>0.0750549091586632+0.815787900145881i</v>
      </c>
      <c r="BJ381" s="20">
        <f t="shared" si="354"/>
        <v>-1.7318484621060282</v>
      </c>
      <c r="BK381" s="43">
        <f t="shared" si="358"/>
        <v>84.743416356296407</v>
      </c>
      <c r="BL381">
        <f t="shared" si="355"/>
        <v>-14.228942917026776</v>
      </c>
      <c r="BM381" s="43">
        <f t="shared" si="356"/>
        <v>40.089432111813139</v>
      </c>
    </row>
    <row r="382" spans="14:65" x14ac:dyDescent="0.25">
      <c r="N382" s="9">
        <v>64</v>
      </c>
      <c r="O382" s="34">
        <f t="shared" si="308"/>
        <v>43651.583224016598</v>
      </c>
      <c r="P382" s="33" t="str">
        <f t="shared" si="309"/>
        <v>19.6196196196196</v>
      </c>
      <c r="Q382" s="4" t="str">
        <f t="shared" si="310"/>
        <v>1+66.389227791598i</v>
      </c>
      <c r="R382" s="4">
        <f t="shared" si="322"/>
        <v>66.396758706767372</v>
      </c>
      <c r="S382" s="4">
        <f t="shared" si="323"/>
        <v>1.5557347811887845</v>
      </c>
      <c r="T382" s="4" t="str">
        <f t="shared" si="311"/>
        <v>1+1.03125890866949i</v>
      </c>
      <c r="U382" s="4">
        <f t="shared" si="324"/>
        <v>1.43648701237087</v>
      </c>
      <c r="V382" s="4">
        <f t="shared" si="325"/>
        <v>0.80078588246954496</v>
      </c>
      <c r="W382" t="str">
        <f t="shared" si="312"/>
        <v>1-0.599967782636836i</v>
      </c>
      <c r="X382" s="4">
        <f t="shared" si="326"/>
        <v>1.1661738035996871</v>
      </c>
      <c r="Y382" s="4">
        <f t="shared" si="327"/>
        <v>-0.5403958106962552</v>
      </c>
      <c r="Z382" t="str">
        <f t="shared" si="313"/>
        <v>0.998094539282037+0.401611087152821i</v>
      </c>
      <c r="AA382" s="4">
        <f t="shared" si="328"/>
        <v>1.0758643848871903</v>
      </c>
      <c r="AB382" s="4">
        <f t="shared" si="329"/>
        <v>0.38255452442976129</v>
      </c>
      <c r="AC382" s="47" t="str">
        <f t="shared" si="330"/>
        <v>-0.0491837681447359-0.457462478354265i</v>
      </c>
      <c r="AD382" s="20">
        <f t="shared" si="331"/>
        <v>-6.7429768317927117</v>
      </c>
      <c r="AE382" s="43">
        <f t="shared" si="332"/>
        <v>-96.136544547567553</v>
      </c>
      <c r="AF382" t="str">
        <f t="shared" si="314"/>
        <v>72.2956529813786</v>
      </c>
      <c r="AG382" t="str">
        <f t="shared" si="315"/>
        <v>1+54.1410927051481i</v>
      </c>
      <c r="AH382">
        <f t="shared" si="333"/>
        <v>54.150327047095857</v>
      </c>
      <c r="AI382">
        <f t="shared" si="334"/>
        <v>1.5523281678329965</v>
      </c>
      <c r="AJ382" t="str">
        <f t="shared" si="316"/>
        <v>1+1.03125890866949i</v>
      </c>
      <c r="AK382">
        <f t="shared" si="335"/>
        <v>1.43648701237087</v>
      </c>
      <c r="AL382">
        <f t="shared" si="336"/>
        <v>0.80078588246954496</v>
      </c>
      <c r="AM382" t="str">
        <f t="shared" si="317"/>
        <v>1-0.13278087030934i</v>
      </c>
      <c r="AN382">
        <f t="shared" si="337"/>
        <v>1.0087768630971399</v>
      </c>
      <c r="AO382">
        <f t="shared" si="338"/>
        <v>-0.13200868004618477</v>
      </c>
      <c r="AP382" s="41" t="str">
        <f t="shared" si="339"/>
        <v>1.22737739184339-1.49549668332062i</v>
      </c>
      <c r="AQ382">
        <f t="shared" si="340"/>
        <v>5.7321583476964442</v>
      </c>
      <c r="AR382" s="43">
        <f t="shared" si="341"/>
        <v>-50.623741302681474</v>
      </c>
      <c r="AS382" t="str">
        <f t="shared" si="318"/>
        <v>-0.0000166666666666667</v>
      </c>
      <c r="AT382" t="str">
        <f t="shared" si="319"/>
        <v>0.000932521353584111i</v>
      </c>
      <c r="AU382">
        <f t="shared" si="342"/>
        <v>9.3252135358411095E-4</v>
      </c>
      <c r="AV382">
        <f t="shared" si="343"/>
        <v>1.5707963267948966</v>
      </c>
      <c r="AW382" t="str">
        <f t="shared" si="320"/>
        <v>1+0.9317146742125i</v>
      </c>
      <c r="AX382">
        <f t="shared" si="344"/>
        <v>1.3667817068365031</v>
      </c>
      <c r="AY382">
        <f t="shared" si="345"/>
        <v>0.75006328447620829</v>
      </c>
      <c r="AZ382" t="str">
        <f t="shared" si="321"/>
        <v>1+31.6782989232249i</v>
      </c>
      <c r="BA382">
        <f t="shared" si="346"/>
        <v>31.694078668880596</v>
      </c>
      <c r="BB382">
        <f t="shared" si="347"/>
        <v>1.5392394545339361</v>
      </c>
      <c r="BC382" s="41" t="str">
        <f t="shared" si="348"/>
        <v>-0.294163324170882+0.291948977456282i</v>
      </c>
      <c r="BD382">
        <f t="shared" si="349"/>
        <v>-7.6506212347136007</v>
      </c>
      <c r="BE382" s="43">
        <f t="shared" si="350"/>
        <v>135.21646383660638</v>
      </c>
      <c r="BF382" s="41" t="str">
        <f t="shared" si="351"/>
        <v>0.14802376351285+0.120209532498838i</v>
      </c>
      <c r="BG382" s="20">
        <f t="shared" si="352"/>
        <v>-14.393598066506307</v>
      </c>
      <c r="BH382" s="43">
        <f t="shared" si="353"/>
        <v>39.079919289038706</v>
      </c>
      <c r="BI382" s="41" t="str">
        <f t="shared" si="357"/>
        <v>0.0755593138878775+0.798251850153758i</v>
      </c>
      <c r="BJ382" s="20">
        <f t="shared" si="354"/>
        <v>-1.9184628870171618</v>
      </c>
      <c r="BK382" s="43">
        <f t="shared" si="358"/>
        <v>84.592722533924899</v>
      </c>
      <c r="BL382">
        <f t="shared" si="355"/>
        <v>-14.393598066506307</v>
      </c>
      <c r="BM382" s="43">
        <f t="shared" si="356"/>
        <v>39.079919289038706</v>
      </c>
    </row>
    <row r="383" spans="14:65" x14ac:dyDescent="0.25">
      <c r="N383" s="9">
        <v>65</v>
      </c>
      <c r="O383" s="34">
        <f t="shared" si="308"/>
        <v>44668.359215096389</v>
      </c>
      <c r="P383" s="33" t="str">
        <f t="shared" si="309"/>
        <v>19.6196196196196</v>
      </c>
      <c r="Q383" s="4" t="str">
        <f t="shared" si="310"/>
        <v>1+67.9356315620732i</v>
      </c>
      <c r="R383" s="4">
        <f t="shared" si="322"/>
        <v>67.94299107146928</v>
      </c>
      <c r="S383" s="4">
        <f t="shared" si="323"/>
        <v>1.5560775737330936</v>
      </c>
      <c r="T383" s="4" t="str">
        <f t="shared" si="311"/>
        <v>1+1.05528001446859i</v>
      </c>
      <c r="U383" s="4">
        <f t="shared" si="324"/>
        <v>1.4538280190369244</v>
      </c>
      <c r="V383" s="4">
        <f t="shared" si="325"/>
        <v>0.81228826573082447</v>
      </c>
      <c r="W383" t="str">
        <f t="shared" si="312"/>
        <v>1-0.6139428275665i</v>
      </c>
      <c r="X383" s="4">
        <f t="shared" si="326"/>
        <v>1.1734248146005559</v>
      </c>
      <c r="Y383" s="4">
        <f t="shared" si="327"/>
        <v>-0.5506085492206424</v>
      </c>
      <c r="Z383" t="str">
        <f t="shared" si="313"/>
        <v>0.998004737685031+0.410965811105738i</v>
      </c>
      <c r="AA383" s="4">
        <f t="shared" si="328"/>
        <v>1.0793082758598511</v>
      </c>
      <c r="AB383" s="4">
        <f t="shared" si="329"/>
        <v>0.39062647765868241</v>
      </c>
      <c r="AC383" s="47" t="str">
        <f t="shared" si="330"/>
        <v>-0.052023127898854-0.45344977224848i</v>
      </c>
      <c r="AD383" s="20">
        <f t="shared" si="331"/>
        <v>-6.8126256671580396</v>
      </c>
      <c r="AE383" s="43">
        <f t="shared" si="332"/>
        <v>-96.544782765554061</v>
      </c>
      <c r="AF383" t="str">
        <f t="shared" si="314"/>
        <v>72.2956529813786</v>
      </c>
      <c r="AG383" t="str">
        <f t="shared" si="315"/>
        <v>1+55.4022007596009i</v>
      </c>
      <c r="AH383">
        <f t="shared" si="333"/>
        <v>55.411224936894541</v>
      </c>
      <c r="AI383">
        <f t="shared" si="334"/>
        <v>1.5527484621109462</v>
      </c>
      <c r="AJ383" t="str">
        <f t="shared" si="316"/>
        <v>1+1.05528001446859i</v>
      </c>
      <c r="AK383">
        <f t="shared" si="335"/>
        <v>1.4538280190369244</v>
      </c>
      <c r="AL383">
        <f t="shared" si="336"/>
        <v>0.81228826573082447</v>
      </c>
      <c r="AM383" t="str">
        <f t="shared" si="317"/>
        <v>1-0.135873734096488i</v>
      </c>
      <c r="AN383">
        <f t="shared" si="337"/>
        <v>1.009188620435904</v>
      </c>
      <c r="AO383">
        <f t="shared" si="338"/>
        <v>-0.13504672365864692</v>
      </c>
      <c r="AP383" s="41" t="str">
        <f t="shared" si="339"/>
        <v>1.22628654360136-1.46989588271782i</v>
      </c>
      <c r="AQ383">
        <f t="shared" si="340"/>
        <v>5.6399962626165294</v>
      </c>
      <c r="AR383" s="43">
        <f t="shared" si="341"/>
        <v>-50.162851452719053</v>
      </c>
      <c r="AS383" t="str">
        <f t="shared" si="318"/>
        <v>-0.0000166666666666667</v>
      </c>
      <c r="AT383" t="str">
        <f t="shared" si="319"/>
        <v>0.000954242566274786i</v>
      </c>
      <c r="AU383">
        <f t="shared" si="342"/>
        <v>9.5424256627478596E-4</v>
      </c>
      <c r="AV383">
        <f t="shared" si="343"/>
        <v>1.5707963267948966</v>
      </c>
      <c r="AW383" t="str">
        <f t="shared" si="320"/>
        <v>1+0.9534170969268i</v>
      </c>
      <c r="AX383">
        <f t="shared" si="344"/>
        <v>1.3816671671253997</v>
      </c>
      <c r="AY383">
        <f t="shared" si="345"/>
        <v>0.761555802233985</v>
      </c>
      <c r="AZ383" t="str">
        <f t="shared" si="321"/>
        <v>1+32.4161812955112i</v>
      </c>
      <c r="BA383">
        <f t="shared" si="346"/>
        <v>32.431602023080053</v>
      </c>
      <c r="BB383">
        <f t="shared" si="347"/>
        <v>1.5399573159958495</v>
      </c>
      <c r="BC383" s="41" t="str">
        <f t="shared" si="348"/>
        <v>-0.287859100971389+0.291915647950897i</v>
      </c>
      <c r="BD383">
        <f t="shared" si="349"/>
        <v>-7.7449014244189716</v>
      </c>
      <c r="BE383" s="43">
        <f t="shared" si="350"/>
        <v>134.59912150514936</v>
      </c>
      <c r="BF383" s="41" t="str">
        <f t="shared" si="351"/>
        <v>0.147344414905785+0.115343278686102i</v>
      </c>
      <c r="BG383" s="20">
        <f t="shared" si="352"/>
        <v>-14.557527091577033</v>
      </c>
      <c r="BH383" s="43">
        <f t="shared" si="353"/>
        <v>38.054338739595352</v>
      </c>
      <c r="BI383" s="41" t="str">
        <f t="shared" si="357"/>
        <v>0.0760878670495286+0.781095138269555i</v>
      </c>
      <c r="BJ383" s="20">
        <f t="shared" si="354"/>
        <v>-2.1049051618024412</v>
      </c>
      <c r="BK383" s="43">
        <f t="shared" si="358"/>
        <v>84.436270052430331</v>
      </c>
      <c r="BL383">
        <f t="shared" si="355"/>
        <v>-14.557527091577033</v>
      </c>
      <c r="BM383" s="43">
        <f t="shared" si="356"/>
        <v>38.054338739595352</v>
      </c>
    </row>
    <row r="384" spans="14:65" x14ac:dyDescent="0.25">
      <c r="N384" s="9">
        <v>66</v>
      </c>
      <c r="O384" s="34">
        <f t="shared" ref="O384:O418" si="359">10^(4+(N384/100))</f>
        <v>45708.818961487581</v>
      </c>
      <c r="P384" s="33" t="str">
        <f t="shared" si="309"/>
        <v>19.6196196196196</v>
      </c>
      <c r="Q384" s="4" t="str">
        <f t="shared" si="310"/>
        <v>1+69.5180557036365i</v>
      </c>
      <c r="R384" s="4">
        <f t="shared" si="322"/>
        <v>69.525247707677451</v>
      </c>
      <c r="S384" s="4">
        <f t="shared" si="323"/>
        <v>1.5564125667092168</v>
      </c>
      <c r="T384" s="4" t="str">
        <f t="shared" si="311"/>
        <v>1+1.07986064369963i</v>
      </c>
      <c r="U384" s="4">
        <f t="shared" si="324"/>
        <v>1.4717673083104474</v>
      </c>
      <c r="V384" s="4">
        <f t="shared" si="325"/>
        <v>0.82377642273997409</v>
      </c>
      <c r="W384" t="str">
        <f t="shared" si="312"/>
        <v>1-0.628243393109828i</v>
      </c>
      <c r="X384" s="4">
        <f t="shared" si="326"/>
        <v>1.1809698391517669</v>
      </c>
      <c r="Y384" s="4">
        <f t="shared" si="327"/>
        <v>-0.56092824386611051</v>
      </c>
      <c r="Z384" t="str">
        <f t="shared" si="313"/>
        <v>0.997910703869146+0.420538434571477i</v>
      </c>
      <c r="AA384" s="4">
        <f t="shared" si="328"/>
        <v>1.0829027416386214</v>
      </c>
      <c r="AB384" s="4">
        <f t="shared" si="329"/>
        <v>0.39883352054819643</v>
      </c>
      <c r="AC384" s="47" t="str">
        <f t="shared" si="330"/>
        <v>-0.0549420581189303-0.449591047053554i</v>
      </c>
      <c r="AD384" s="20">
        <f t="shared" si="331"/>
        <v>-6.8792691354395235</v>
      </c>
      <c r="AE384" s="43">
        <f t="shared" si="332"/>
        <v>-96.967257407145595</v>
      </c>
      <c r="AF384" t="str">
        <f t="shared" si="314"/>
        <v>72.2956529813786</v>
      </c>
      <c r="AG384" t="str">
        <f t="shared" si="315"/>
        <v>1+56.6926837942309i</v>
      </c>
      <c r="AH384">
        <f t="shared" si="333"/>
        <v>56.701502588490996</v>
      </c>
      <c r="AI384">
        <f t="shared" si="334"/>
        <v>1.5531591954851165</v>
      </c>
      <c r="AJ384" t="str">
        <f t="shared" si="316"/>
        <v>1+1.07986064369963i</v>
      </c>
      <c r="AK384">
        <f t="shared" si="335"/>
        <v>1.4717673083104474</v>
      </c>
      <c r="AL384">
        <f t="shared" si="336"/>
        <v>0.82377642273997409</v>
      </c>
      <c r="AM384" t="str">
        <f t="shared" si="317"/>
        <v>1-0.139038639935954i</v>
      </c>
      <c r="AN384">
        <f t="shared" si="337"/>
        <v>1.0096196033136637</v>
      </c>
      <c r="AO384">
        <f t="shared" si="338"/>
        <v>-0.1381529376586591</v>
      </c>
      <c r="AP384" s="41" t="str">
        <f t="shared" si="339"/>
        <v>1.22524476035662-1.44507266809226i</v>
      </c>
      <c r="AQ384">
        <f t="shared" si="340"/>
        <v>5.5502908643526041</v>
      </c>
      <c r="AR384" s="43">
        <f t="shared" si="341"/>
        <v>-49.706134783021547</v>
      </c>
      <c r="AS384" t="str">
        <f t="shared" si="318"/>
        <v>-0.0000166666666666667</v>
      </c>
      <c r="AT384" t="str">
        <f t="shared" si="319"/>
        <v>0.000976469731004992i</v>
      </c>
      <c r="AU384">
        <f t="shared" si="342"/>
        <v>9.7646973100499199E-4</v>
      </c>
      <c r="AV384">
        <f t="shared" si="343"/>
        <v>1.5707963267948966</v>
      </c>
      <c r="AW384" t="str">
        <f t="shared" si="320"/>
        <v>1+0.975625034005852i</v>
      </c>
      <c r="AX384">
        <f t="shared" si="344"/>
        <v>1.3970841803480991</v>
      </c>
      <c r="AY384">
        <f t="shared" si="345"/>
        <v>0.77306093903500162</v>
      </c>
      <c r="AZ384" t="str">
        <f t="shared" si="321"/>
        <v>1+33.1712511561989i</v>
      </c>
      <c r="BA384">
        <f t="shared" si="346"/>
        <v>33.186321026405238</v>
      </c>
      <c r="BB384">
        <f t="shared" si="347"/>
        <v>1.5406588676596424</v>
      </c>
      <c r="BC384" s="41" t="str">
        <f t="shared" si="348"/>
        <v>-0.281541026424361+0.291746761555697i</v>
      </c>
      <c r="BD384">
        <f t="shared" si="349"/>
        <v>-7.8414700160177508</v>
      </c>
      <c r="BE384" s="43">
        <f t="shared" si="350"/>
        <v>133.98012167317623</v>
      </c>
      <c r="BF384" s="41" t="str">
        <f t="shared" si="351"/>
        <v>0.14663517543898+0.110549157329258i</v>
      </c>
      <c r="BG384" s="20">
        <f t="shared" si="352"/>
        <v>-14.72073915145727</v>
      </c>
      <c r="BH384" s="43">
        <f t="shared" si="353"/>
        <v>37.012864266030626</v>
      </c>
      <c r="BI384" s="41" t="str">
        <f t="shared" si="357"/>
        <v>0.0766386036766944+0.764308433179615i</v>
      </c>
      <c r="BJ384" s="20">
        <f t="shared" si="354"/>
        <v>-2.291179151665145</v>
      </c>
      <c r="BK384" s="43">
        <f t="shared" si="358"/>
        <v>84.273986890154703</v>
      </c>
      <c r="BL384">
        <f t="shared" si="355"/>
        <v>-14.72073915145727</v>
      </c>
      <c r="BM384" s="43">
        <f t="shared" si="356"/>
        <v>37.012864266030626</v>
      </c>
    </row>
    <row r="385" spans="14:65" x14ac:dyDescent="0.25">
      <c r="N385" s="9">
        <v>67</v>
      </c>
      <c r="O385" s="34">
        <f t="shared" si="359"/>
        <v>46773.514128719893</v>
      </c>
      <c r="P385" s="33" t="str">
        <f t="shared" si="309"/>
        <v>19.6196196196196</v>
      </c>
      <c r="Q385" s="4" t="str">
        <f t="shared" si="310"/>
        <v>1+71.1373392385145i</v>
      </c>
      <c r="R385" s="4">
        <f t="shared" si="322"/>
        <v>71.1443675489177</v>
      </c>
      <c r="S385" s="4">
        <f t="shared" si="323"/>
        <v>1.5567399374339472</v>
      </c>
      <c r="T385" s="4" t="str">
        <f t="shared" si="311"/>
        <v>1+1.10501382933762i</v>
      </c>
      <c r="U385" s="4">
        <f t="shared" si="324"/>
        <v>1.4903206242374125</v>
      </c>
      <c r="V385" s="4">
        <f t="shared" si="325"/>
        <v>0.8352443162579245</v>
      </c>
      <c r="W385" t="str">
        <f t="shared" si="312"/>
        <v>1-0.642877061615972i</v>
      </c>
      <c r="X385" s="4">
        <f t="shared" si="326"/>
        <v>1.1888191268447805</v>
      </c>
      <c r="Y385" s="4">
        <f t="shared" si="327"/>
        <v>-0.5713515738457482</v>
      </c>
      <c r="Z385" t="str">
        <f t="shared" si="313"/>
        <v>0.99781223837605+0.430334033081712i</v>
      </c>
      <c r="AA385" s="4">
        <f t="shared" si="328"/>
        <v>1.0866538745531602</v>
      </c>
      <c r="AB385" s="4">
        <f t="shared" si="329"/>
        <v>0.40717576365434466</v>
      </c>
      <c r="AC385" s="47" t="str">
        <f t="shared" si="330"/>
        <v>-0.0579424590592609-0.445879935401853i</v>
      </c>
      <c r="AD385" s="20">
        <f t="shared" si="331"/>
        <v>-6.9429135457813</v>
      </c>
      <c r="AE385" s="43">
        <f t="shared" si="332"/>
        <v>-97.404140607484536</v>
      </c>
      <c r="AF385" t="str">
        <f t="shared" si="314"/>
        <v>72.2956529813786</v>
      </c>
      <c r="AG385" t="str">
        <f t="shared" si="315"/>
        <v>1+58.0132260402253i</v>
      </c>
      <c r="AH385">
        <f t="shared" si="333"/>
        <v>58.021844124383662</v>
      </c>
      <c r="AI385">
        <f t="shared" si="334"/>
        <v>1.5535605851771295</v>
      </c>
      <c r="AJ385" t="str">
        <f t="shared" si="316"/>
        <v>1+1.10501382933762i</v>
      </c>
      <c r="AK385">
        <f t="shared" si="335"/>
        <v>1.4903206242374125</v>
      </c>
      <c r="AL385">
        <f t="shared" si="336"/>
        <v>0.8352443162579245</v>
      </c>
      <c r="AM385" t="str">
        <f t="shared" si="317"/>
        <v>1-0.14227726590271i</v>
      </c>
      <c r="AN385">
        <f t="shared" si="337"/>
        <v>1.0100707006901797</v>
      </c>
      <c r="AO385">
        <f t="shared" si="338"/>
        <v>-0.14132872911176353</v>
      </c>
      <c r="AP385" s="41" t="str">
        <f t="shared" si="339"/>
        <v>1.22424983656995-1.421013996066i</v>
      </c>
      <c r="AQ385">
        <f t="shared" si="340"/>
        <v>5.4630428382695237</v>
      </c>
      <c r="AR385" s="43">
        <f t="shared" si="341"/>
        <v>-49.254030266706465</v>
      </c>
      <c r="AS385" t="str">
        <f t="shared" si="318"/>
        <v>-0.0000166666666666667</v>
      </c>
      <c r="AT385" t="str">
        <f t="shared" si="319"/>
        <v>0.000999214632911681i</v>
      </c>
      <c r="AU385">
        <f t="shared" si="342"/>
        <v>9.9921463291168097E-4</v>
      </c>
      <c r="AV385">
        <f t="shared" si="343"/>
        <v>1.5707963267948966</v>
      </c>
      <c r="AW385" t="str">
        <f t="shared" si="320"/>
        <v>1+0.998350260391863i</v>
      </c>
      <c r="AX385">
        <f t="shared" si="344"/>
        <v>1.4130475018287605</v>
      </c>
      <c r="AY385">
        <f t="shared" si="345"/>
        <v>0.78457261280901991</v>
      </c>
      <c r="AZ385" t="str">
        <f t="shared" si="321"/>
        <v>1+33.9439088533233i</v>
      </c>
      <c r="BA385">
        <f t="shared" si="346"/>
        <v>33.958635841899188</v>
      </c>
      <c r="BB385">
        <f t="shared" si="347"/>
        <v>1.5413444787334261</v>
      </c>
      <c r="BC385" s="41" t="str">
        <f t="shared" si="348"/>
        <v>-0.275215770564897+0.291441502613656i</v>
      </c>
      <c r="BD385">
        <f t="shared" si="349"/>
        <v>-7.9403312313846772</v>
      </c>
      <c r="BE385" s="43">
        <f t="shared" si="350"/>
        <v>133.35983397170858</v>
      </c>
      <c r="BF385" s="41" t="str">
        <f t="shared" si="351"/>
        <v>0.145894596877215+0.105826352667686i</v>
      </c>
      <c r="BG385" s="20">
        <f t="shared" si="352"/>
        <v>-14.883244777166</v>
      </c>
      <c r="BH385" s="43">
        <f t="shared" si="353"/>
        <v>35.955693364224061</v>
      </c>
      <c r="BI385" s="41" t="str">
        <f t="shared" si="357"/>
        <v>0.0772095921129629+0.747882673855277i</v>
      </c>
      <c r="BJ385" s="20">
        <f t="shared" si="354"/>
        <v>-2.4772883931151499</v>
      </c>
      <c r="BK385" s="43">
        <f t="shared" si="358"/>
        <v>84.105803705002131</v>
      </c>
      <c r="BL385">
        <f t="shared" si="355"/>
        <v>-14.883244777166</v>
      </c>
      <c r="BM385" s="43">
        <f t="shared" si="356"/>
        <v>35.955693364224061</v>
      </c>
    </row>
    <row r="386" spans="14:65" x14ac:dyDescent="0.25">
      <c r="N386" s="9">
        <v>68</v>
      </c>
      <c r="O386" s="34">
        <f t="shared" si="359"/>
        <v>47863.009232263823</v>
      </c>
      <c r="P386" s="33" t="str">
        <f t="shared" si="309"/>
        <v>19.6196196196196</v>
      </c>
      <c r="Q386" s="4" t="str">
        <f t="shared" si="310"/>
        <v>1+72.7943407322704i</v>
      </c>
      <c r="R386" s="4">
        <f t="shared" si="322"/>
        <v>72.80120907406608</v>
      </c>
      <c r="S386" s="4">
        <f t="shared" si="323"/>
        <v>1.5570598592027367</v>
      </c>
      <c r="T386" s="4" t="str">
        <f t="shared" si="311"/>
        <v>1+1.13075290793451i</v>
      </c>
      <c r="U386" s="4">
        <f t="shared" si="324"/>
        <v>1.5095039379883548</v>
      </c>
      <c r="V386" s="4">
        <f t="shared" si="325"/>
        <v>0.84668596233886662</v>
      </c>
      <c r="W386" t="str">
        <f t="shared" si="312"/>
        <v>1-0.657851592049665i</v>
      </c>
      <c r="X386" s="4">
        <f t="shared" si="326"/>
        <v>1.1969831732995577</v>
      </c>
      <c r="Y386" s="4">
        <f t="shared" si="327"/>
        <v>-0.58187500585641827</v>
      </c>
      <c r="Z386" t="str">
        <f t="shared" si="313"/>
        <v>0.997709132347232+0.440357800392428i</v>
      </c>
      <c r="AA386" s="4">
        <f t="shared" si="328"/>
        <v>1.0905679736428737</v>
      </c>
      <c r="AB386" s="4">
        <f t="shared" si="329"/>
        <v>0.41565317747074138</v>
      </c>
      <c r="AC386" s="47" t="str">
        <f t="shared" si="330"/>
        <v>-0.061026115857256-0.442310004470962i</v>
      </c>
      <c r="AD386" s="20">
        <f t="shared" si="331"/>
        <v>-7.003569060920861</v>
      </c>
      <c r="AE386" s="43">
        <f t="shared" si="332"/>
        <v>-97.855581016559896</v>
      </c>
      <c r="AF386" t="str">
        <f t="shared" si="314"/>
        <v>72.2956529813786</v>
      </c>
      <c r="AG386" t="str">
        <f t="shared" si="315"/>
        <v>1+59.3645276665617i</v>
      </c>
      <c r="AH386">
        <f t="shared" si="333"/>
        <v>59.372949607325133</v>
      </c>
      <c r="AI386">
        <f t="shared" si="334"/>
        <v>1.5539528434914609</v>
      </c>
      <c r="AJ386" t="str">
        <f t="shared" si="316"/>
        <v>1+1.13075290793451i</v>
      </c>
      <c r="AK386">
        <f t="shared" si="335"/>
        <v>1.5095039379883548</v>
      </c>
      <c r="AL386">
        <f t="shared" si="336"/>
        <v>0.84668596233886662</v>
      </c>
      <c r="AM386" t="str">
        <f t="shared" si="317"/>
        <v>1-0.145591329159108i</v>
      </c>
      <c r="AN386">
        <f t="shared" si="337"/>
        <v>1.0105428418064797</v>
      </c>
      <c r="AO386">
        <f t="shared" si="338"/>
        <v>-0.14457552549094138</v>
      </c>
      <c r="AP386" s="41" t="str">
        <f t="shared" si="339"/>
        <v>1.22329966572593-1.397707220749i</v>
      </c>
      <c r="AQ386">
        <f t="shared" si="340"/>
        <v>5.3782508037775631</v>
      </c>
      <c r="AR386" s="43">
        <f t="shared" si="341"/>
        <v>-48.806974710941432</v>
      </c>
      <c r="AS386" t="str">
        <f t="shared" si="318"/>
        <v>-0.0000166666666666667</v>
      </c>
      <c r="AT386" t="str">
        <f t="shared" si="319"/>
        <v>0.00102248933164291i</v>
      </c>
      <c r="AU386">
        <f t="shared" si="342"/>
        <v>1.0224893316429101E-3</v>
      </c>
      <c r="AV386">
        <f t="shared" si="343"/>
        <v>1.5707963267948966</v>
      </c>
      <c r="AW386" t="str">
        <f t="shared" si="320"/>
        <v>1+1.02160482530066i</v>
      </c>
      <c r="AX386">
        <f t="shared" si="344"/>
        <v>1.4295721104853689</v>
      </c>
      <c r="AY386">
        <f t="shared" si="345"/>
        <v>0.79608472418408061</v>
      </c>
      <c r="AZ386" t="str">
        <f t="shared" si="321"/>
        <v>1+34.7345640602223i</v>
      </c>
      <c r="BA386">
        <f t="shared" si="346"/>
        <v>34.748955962067207</v>
      </c>
      <c r="BB386">
        <f t="shared" si="347"/>
        <v>1.5420145101575502</v>
      </c>
      <c r="BC386" s="41" t="str">
        <f t="shared" si="348"/>
        <v>-0.268890033825079+0.290999444599986i</v>
      </c>
      <c r="BD386">
        <f t="shared" si="349"/>
        <v>-8.0414868408092701</v>
      </c>
      <c r="BE386" s="43">
        <f t="shared" si="350"/>
        <v>132.73862854937673</v>
      </c>
      <c r="BF386" s="41" t="str">
        <f t="shared" si="351"/>
        <v>0.145121279999138+0.101174186242812i</v>
      </c>
      <c r="BG386" s="20">
        <f t="shared" si="352"/>
        <v>-15.04505590173013</v>
      </c>
      <c r="BH386" s="43">
        <f t="shared" si="353"/>
        <v>34.883047532816875</v>
      </c>
      <c r="BI386" s="41" t="str">
        <f t="shared" si="357"/>
        <v>0.0777989364560959+0.73180906517035i</v>
      </c>
      <c r="BJ386" s="20">
        <f t="shared" si="354"/>
        <v>-2.6632360370317061</v>
      </c>
      <c r="BK386" s="43">
        <f t="shared" si="358"/>
        <v>83.931653838435309</v>
      </c>
      <c r="BL386">
        <f t="shared" si="355"/>
        <v>-15.04505590173013</v>
      </c>
      <c r="BM386" s="43">
        <f t="shared" si="356"/>
        <v>34.883047532816875</v>
      </c>
    </row>
    <row r="387" spans="14:65" x14ac:dyDescent="0.25">
      <c r="N387" s="9">
        <v>69</v>
      </c>
      <c r="O387" s="34">
        <f t="shared" si="359"/>
        <v>48977.881936844598</v>
      </c>
      <c r="P387" s="33" t="str">
        <f t="shared" si="309"/>
        <v>19.6196196196196</v>
      </c>
      <c r="Q387" s="4" t="str">
        <f t="shared" si="310"/>
        <v>1+74.4899387490297i</v>
      </c>
      <c r="R387" s="4">
        <f t="shared" si="322"/>
        <v>74.496650762528901</v>
      </c>
      <c r="S387" s="4">
        <f t="shared" si="323"/>
        <v>1.5573725013802395</v>
      </c>
      <c r="T387" s="4" t="str">
        <f t="shared" si="311"/>
        <v>1+1.15709152669046i</v>
      </c>
      <c r="U387" s="4">
        <f t="shared" si="324"/>
        <v>1.529333449950945</v>
      </c>
      <c r="V387" s="4">
        <f t="shared" si="325"/>
        <v>0.85809544573274454</v>
      </c>
      <c r="W387" t="str">
        <f t="shared" si="312"/>
        <v>1-0.673174924105158i</v>
      </c>
      <c r="X387" s="4">
        <f t="shared" si="326"/>
        <v>1.205472719908661</v>
      </c>
      <c r="Y387" s="4">
        <f t="shared" si="327"/>
        <v>-0.59249479622921175</v>
      </c>
      <c r="Z387" t="str">
        <f t="shared" si="313"/>
        <v>0.997601167080981+0.450615051237738i</v>
      </c>
      <c r="AA387" s="4">
        <f t="shared" si="328"/>
        <v>1.0946515486506765</v>
      </c>
      <c r="AB387" s="4">
        <f t="shared" si="329"/>
        <v>0.42426558563535899</v>
      </c>
      <c r="AC387" s="47" t="str">
        <f t="shared" si="330"/>
        <v>-0.0641946882761779-0.438874755534844i</v>
      </c>
      <c r="AD387" s="20">
        <f t="shared" si="331"/>
        <v>-7.0612497296203376</v>
      </c>
      <c r="AE387" s="43">
        <f t="shared" si="332"/>
        <v>-98.321702655886071</v>
      </c>
      <c r="AF387" t="str">
        <f t="shared" si="314"/>
        <v>72.2956529813786</v>
      </c>
      <c r="AG387" t="str">
        <f t="shared" si="315"/>
        <v>1+60.7473051512494i</v>
      </c>
      <c r="AH387">
        <f t="shared" si="333"/>
        <v>60.75553541150807</v>
      </c>
      <c r="AI387">
        <f t="shared" si="334"/>
        <v>1.5543361779255405</v>
      </c>
      <c r="AJ387" t="str">
        <f t="shared" si="316"/>
        <v>1+1.15709152669046i</v>
      </c>
      <c r="AK387">
        <f t="shared" si="335"/>
        <v>1.529333449950945</v>
      </c>
      <c r="AL387">
        <f t="shared" si="336"/>
        <v>0.85809544573274454</v>
      </c>
      <c r="AM387" t="str">
        <f t="shared" si="317"/>
        <v>1-0.148982586865355i</v>
      </c>
      <c r="AN387">
        <f t="shared" si="337"/>
        <v>1.0110369979328615</v>
      </c>
      <c r="AO387">
        <f t="shared" si="338"/>
        <v>-0.14789477433406698</v>
      </c>
      <c r="AP387" s="41" t="str">
        <f t="shared" si="339"/>
        <v>1.22239223589745-1.37514008755938i</v>
      </c>
      <c r="AQ387">
        <f t="shared" si="340"/>
        <v>5.2959113660912021</v>
      </c>
      <c r="AR387" s="43">
        <f t="shared" si="341"/>
        <v>-48.365401861127317</v>
      </c>
      <c r="AS387" t="str">
        <f t="shared" si="318"/>
        <v>-0.0000166666666666667</v>
      </c>
      <c r="AT387" t="str">
        <f t="shared" si="319"/>
        <v>0.00104630616775202i</v>
      </c>
      <c r="AU387">
        <f t="shared" si="342"/>
        <v>1.0463061677520201E-3</v>
      </c>
      <c r="AV387">
        <f t="shared" si="343"/>
        <v>1.5707963267948966</v>
      </c>
      <c r="AW387" t="str">
        <f t="shared" si="320"/>
        <v>1+1.04540105861036i</v>
      </c>
      <c r="AX387">
        <f t="shared" si="344"/>
        <v>1.4466732088981469</v>
      </c>
      <c r="AY387">
        <f t="shared" si="345"/>
        <v>0.80759117262916336</v>
      </c>
      <c r="AZ387" t="str">
        <f t="shared" si="321"/>
        <v>1+35.5436359927523i</v>
      </c>
      <c r="BA387">
        <f t="shared" si="346"/>
        <v>35.557700426001638</v>
      </c>
      <c r="BB387">
        <f t="shared" si="347"/>
        <v>1.5426693147837254</v>
      </c>
      <c r="BC387" s="41" t="str">
        <f t="shared" si="348"/>
        <v>-0.262570518674299+0.290420551436514i</v>
      </c>
      <c r="BD387">
        <f t="shared" si="349"/>
        <v>-8.1449361578767654</v>
      </c>
      <c r="BE387" s="43">
        <f t="shared" si="350"/>
        <v>132.11687515777407</v>
      </c>
      <c r="BF387" s="41" t="str">
        <f t="shared" si="351"/>
        <v>0.144313881110806+0.0965921154253775i</v>
      </c>
      <c r="BG387" s="20">
        <f t="shared" si="352"/>
        <v>-15.206185887497085</v>
      </c>
      <c r="BH387" s="43">
        <f t="shared" si="353"/>
        <v>33.79517250188794</v>
      </c>
      <c r="BI387" s="41" t="str">
        <f t="shared" si="357"/>
        <v>0.0784047791284219+0.716079073261338i</v>
      </c>
      <c r="BJ387" s="20">
        <f t="shared" si="354"/>
        <v>-2.8490247917855651</v>
      </c>
      <c r="BK387" s="43">
        <f t="shared" si="358"/>
        <v>83.751473296646736</v>
      </c>
      <c r="BL387">
        <f t="shared" si="355"/>
        <v>-15.206185887497085</v>
      </c>
      <c r="BM387" s="43">
        <f t="shared" si="356"/>
        <v>33.79517250188794</v>
      </c>
    </row>
    <row r="388" spans="14:65" x14ac:dyDescent="0.25">
      <c r="N388" s="9">
        <v>70</v>
      </c>
      <c r="O388" s="34">
        <f t="shared" si="359"/>
        <v>50118.723362727294</v>
      </c>
      <c r="P388" s="33" t="str">
        <f t="shared" si="309"/>
        <v>19.6196196196196</v>
      </c>
      <c r="Q388" s="4" t="str">
        <f t="shared" si="310"/>
        <v>1+76.2250323173048i</v>
      </c>
      <c r="R388" s="4">
        <f t="shared" si="322"/>
        <v>76.231591560022935</v>
      </c>
      <c r="S388" s="4">
        <f t="shared" si="323"/>
        <v>1.5576780294888624</v>
      </c>
      <c r="T388" s="4" t="str">
        <f t="shared" si="311"/>
        <v>1+1.18404365068979i</v>
      </c>
      <c r="U388" s="4">
        <f t="shared" si="324"/>
        <v>1.5498255923615423</v>
      </c>
      <c r="V388" s="4">
        <f t="shared" si="325"/>
        <v>0.86946693485192128</v>
      </c>
      <c r="W388" t="str">
        <f t="shared" si="312"/>
        <v>1-0.688855182415938i</v>
      </c>
      <c r="X388" s="4">
        <f t="shared" si="326"/>
        <v>1.2142987533310305</v>
      </c>
      <c r="Y388" s="4">
        <f t="shared" si="327"/>
        <v>-0.60320699402228994</v>
      </c>
      <c r="Z388" t="str">
        <f t="shared" si="313"/>
        <v>0.99748811356849+0.461111224147811i</v>
      </c>
      <c r="AA388" s="4">
        <f t="shared" si="328"/>
        <v>1.0989113238771895</v>
      </c>
      <c r="AB388" s="4">
        <f t="shared" si="329"/>
        <v>0.43301265821922885</v>
      </c>
      <c r="AC388" s="47" t="str">
        <f t="shared" si="330"/>
        <v>-0.0674497001139402-0.435567624375991i</v>
      </c>
      <c r="AD388" s="20">
        <f t="shared" si="331"/>
        <v>-7.1159735055349387</v>
      </c>
      <c r="AE388" s="43">
        <f t="shared" si="332"/>
        <v>-98.802603858728091</v>
      </c>
      <c r="AF388" t="str">
        <f t="shared" si="314"/>
        <v>72.2956529813786</v>
      </c>
      <c r="AG388" t="str">
        <f t="shared" si="315"/>
        <v>1+62.1622916612142i</v>
      </c>
      <c r="AH388">
        <f t="shared" si="333"/>
        <v>62.170334602395862</v>
      </c>
      <c r="AI388">
        <f t="shared" si="334"/>
        <v>1.5547107912774674</v>
      </c>
      <c r="AJ388" t="str">
        <f t="shared" si="316"/>
        <v>1+1.18404365068979i</v>
      </c>
      <c r="AK388">
        <f t="shared" si="335"/>
        <v>1.5498255923615423</v>
      </c>
      <c r="AL388">
        <f t="shared" si="336"/>
        <v>0.86946693485192128</v>
      </c>
      <c r="AM388" t="str">
        <f t="shared" si="317"/>
        <v>1-0.152452837111177i</v>
      </c>
      <c r="AN388">
        <f t="shared" si="337"/>
        <v>1.0115541841855269</v>
      </c>
      <c r="AO388">
        <f t="shared" si="338"/>
        <v>-0.15128794284259006</v>
      </c>
      <c r="AP388" s="41" t="str">
        <f t="shared" si="339"/>
        <v>1.22152562550797-1.3533007272162i</v>
      </c>
      <c r="AQ388">
        <f t="shared" si="340"/>
        <v>5.2160191778268512</v>
      </c>
      <c r="AR388" s="43">
        <f t="shared" si="341"/>
        <v>-47.929741526549236</v>
      </c>
      <c r="AS388" t="str">
        <f t="shared" si="318"/>
        <v>-0.0000166666666666667</v>
      </c>
      <c r="AT388" t="str">
        <f t="shared" si="319"/>
        <v>0.00107067776924077i</v>
      </c>
      <c r="AU388">
        <f t="shared" si="342"/>
        <v>1.07067776924077E-3</v>
      </c>
      <c r="AV388">
        <f t="shared" si="343"/>
        <v>1.5707963267948966</v>
      </c>
      <c r="AW388" t="str">
        <f t="shared" si="320"/>
        <v>1+1.06975157739887i</v>
      </c>
      <c r="AX388">
        <f t="shared" si="344"/>
        <v>1.4643662237798885</v>
      </c>
      <c r="AY388">
        <f t="shared" si="345"/>
        <v>0.81908587260433685</v>
      </c>
      <c r="AZ388" t="str">
        <f t="shared" si="321"/>
        <v>1+36.3715536315615i</v>
      </c>
      <c r="BA388">
        <f t="shared" si="346"/>
        <v>36.385298041565555</v>
      </c>
      <c r="BB388">
        <f t="shared" si="347"/>
        <v>1.5433092375506665</v>
      </c>
      <c r="BC388" s="41" t="str">
        <f t="shared" si="348"/>
        <v>-0.256263901241272+0.289705176318156i</v>
      </c>
      <c r="BD388">
        <f t="shared" si="349"/>
        <v>-8.2506760446471272</v>
      </c>
      <c r="BE388" s="43">
        <f t="shared" si="350"/>
        <v>131.49494223618731</v>
      </c>
      <c r="BF388" s="41" t="str">
        <f t="shared" si="351"/>
        <v>0.143471118707079+0.0920797314128686i</v>
      </c>
      <c r="BG388" s="20">
        <f t="shared" si="352"/>
        <v>-15.366649550182068</v>
      </c>
      <c r="BH388" s="43">
        <f t="shared" si="353"/>
        <v>32.692338377459208</v>
      </c>
      <c r="BI388" s="41" t="str">
        <f t="shared" si="357"/>
        <v>0.0790253035308005+0.700684420624006i</v>
      </c>
      <c r="BJ388" s="20">
        <f t="shared" si="354"/>
        <v>-3.034656866820276</v>
      </c>
      <c r="BK388" s="43">
        <f t="shared" si="358"/>
        <v>83.565200709638077</v>
      </c>
      <c r="BL388">
        <f t="shared" si="355"/>
        <v>-15.366649550182068</v>
      </c>
      <c r="BM388" s="43">
        <f t="shared" si="356"/>
        <v>32.692338377459208</v>
      </c>
    </row>
    <row r="389" spans="14:65" x14ac:dyDescent="0.25">
      <c r="N389" s="9">
        <v>71</v>
      </c>
      <c r="O389" s="34">
        <f t="shared" si="359"/>
        <v>51286.138399136544</v>
      </c>
      <c r="P389" s="33" t="str">
        <f t="shared" si="309"/>
        <v>19.6196196196196</v>
      </c>
      <c r="Q389" s="4" t="str">
        <f t="shared" si="310"/>
        <v>1+78.0005414066722i</v>
      </c>
      <c r="R389" s="4">
        <f t="shared" si="322"/>
        <v>78.006951355209267</v>
      </c>
      <c r="S389" s="4">
        <f t="shared" si="323"/>
        <v>1.5579766052953592</v>
      </c>
      <c r="T389" s="4" t="str">
        <f t="shared" si="311"/>
        <v>1+1.21162357030539i</v>
      </c>
      <c r="U389" s="4">
        <f t="shared" si="324"/>
        <v>1.5709970324986551</v>
      </c>
      <c r="V389" s="4">
        <f t="shared" si="325"/>
        <v>0.88079469621180817</v>
      </c>
      <c r="W389" t="str">
        <f t="shared" si="312"/>
        <v>1-0.704900680862512i</v>
      </c>
      <c r="X389" s="4">
        <f t="shared" si="326"/>
        <v>1.223472504750488</v>
      </c>
      <c r="Y389" s="4">
        <f t="shared" si="327"/>
        <v>-0.61400744508007965</v>
      </c>
      <c r="Z389" t="str">
        <f t="shared" si="313"/>
        <v>0.997369732008105+0.471851884332457i</v>
      </c>
      <c r="AA389" s="4">
        <f t="shared" si="328"/>
        <v>1.1033542418797371</v>
      </c>
      <c r="AB389" s="4">
        <f t="shared" si="329"/>
        <v>0.44189390513818194</v>
      </c>
      <c r="AC389" s="47" t="str">
        <f t="shared" si="330"/>
        <v>-0.0707925283361328-0.432381982616042i</v>
      </c>
      <c r="AD389" s="20">
        <f t="shared" si="331"/>
        <v>-7.1677622521571003</v>
      </c>
      <c r="AE389" s="43">
        <f t="shared" si="332"/>
        <v>-99.298356302770742</v>
      </c>
      <c r="AF389" t="str">
        <f t="shared" si="314"/>
        <v>72.2956529813786</v>
      </c>
      <c r="AG389" t="str">
        <f t="shared" si="315"/>
        <v>1+63.610237441033i</v>
      </c>
      <c r="AH389">
        <f t="shared" si="333"/>
        <v>63.618097325404165</v>
      </c>
      <c r="AI389">
        <f t="shared" si="334"/>
        <v>1.5550768817513865</v>
      </c>
      <c r="AJ389" t="str">
        <f t="shared" si="316"/>
        <v>1+1.21162357030539i</v>
      </c>
      <c r="AK389">
        <f t="shared" si="335"/>
        <v>1.5709970324986551</v>
      </c>
      <c r="AL389">
        <f t="shared" si="336"/>
        <v>0.88079469621180817</v>
      </c>
      <c r="AM389" t="str">
        <f t="shared" si="317"/>
        <v>1-0.156003919869187i</v>
      </c>
      <c r="AN389">
        <f t="shared" si="337"/>
        <v>1.0120954614138686</v>
      </c>
      <c r="AO389">
        <f t="shared" si="338"/>
        <v>-0.1547565174173425</v>
      </c>
      <c r="AP389" s="41" t="str">
        <f t="shared" si="339"/>
        <v>1.22069799928266-1.33217764990387i</v>
      </c>
      <c r="AQ389">
        <f t="shared" si="340"/>
        <v>5.1385670100144631</v>
      </c>
      <c r="AR389" s="43">
        <f t="shared" si="341"/>
        <v>-47.500418732431442</v>
      </c>
      <c r="AS389" t="str">
        <f t="shared" si="318"/>
        <v>-0.0000166666666666667</v>
      </c>
      <c r="AT389" t="str">
        <f t="shared" si="319"/>
        <v>0.00109561705825487i</v>
      </c>
      <c r="AU389">
        <f t="shared" si="342"/>
        <v>1.09561705825487E-3</v>
      </c>
      <c r="AV389">
        <f t="shared" si="343"/>
        <v>1.5707963267948966</v>
      </c>
      <c r="AW389" t="str">
        <f t="shared" si="320"/>
        <v>1+1.09466929263355i</v>
      </c>
      <c r="AX389">
        <f t="shared" si="344"/>
        <v>1.4826668068837439</v>
      </c>
      <c r="AY389">
        <f t="shared" si="345"/>
        <v>0.83056276961415099</v>
      </c>
      <c r="AZ389" t="str">
        <f t="shared" si="321"/>
        <v>1+37.2187559495406i</v>
      </c>
      <c r="BA389">
        <f t="shared" si="346"/>
        <v>37.232187612756036</v>
      </c>
      <c r="BB389">
        <f t="shared" si="347"/>
        <v>1.5439346156563021</v>
      </c>
      <c r="BC389" s="41" t="str">
        <f t="shared" si="348"/>
        <v>-0.249976803172696+0.288854058064269i</v>
      </c>
      <c r="BD389">
        <f t="shared" si="349"/>
        <v>-8.3587009270932171</v>
      </c>
      <c r="BE389" s="43">
        <f t="shared" si="350"/>
        <v>130.87319600167166</v>
      </c>
      <c r="BF389" s="41" t="str">
        <f t="shared" si="351"/>
        <v>0.142591780234497+0.0876367566733087i</v>
      </c>
      <c r="BG389" s="20">
        <f t="shared" si="352"/>
        <v>-15.526463179250312</v>
      </c>
      <c r="BH389" s="43">
        <f t="shared" si="353"/>
        <v>31.574839698900902</v>
      </c>
      <c r="BI389" s="41" t="str">
        <f t="shared" si="357"/>
        <v>0.0796587367372686+0.685617080944815i</v>
      </c>
      <c r="BJ389" s="20">
        <f t="shared" si="354"/>
        <v>-3.2201339170787535</v>
      </c>
      <c r="BK389" s="43">
        <f t="shared" si="358"/>
        <v>83.372777269240217</v>
      </c>
      <c r="BL389">
        <f t="shared" si="355"/>
        <v>-15.526463179250312</v>
      </c>
      <c r="BM389" s="43">
        <f t="shared" si="356"/>
        <v>31.574839698900902</v>
      </c>
    </row>
    <row r="390" spans="14:65" x14ac:dyDescent="0.25">
      <c r="N390" s="9">
        <v>72</v>
      </c>
      <c r="O390" s="34">
        <f t="shared" si="359"/>
        <v>52480.746024977314</v>
      </c>
      <c r="P390" s="33" t="str">
        <f t="shared" si="309"/>
        <v>19.6196196196196</v>
      </c>
      <c r="Q390" s="4" t="str">
        <f t="shared" si="310"/>
        <v>1+79.8174074155524i</v>
      </c>
      <c r="R390" s="4">
        <f t="shared" si="322"/>
        <v>79.823671467430501</v>
      </c>
      <c r="S390" s="4">
        <f t="shared" si="323"/>
        <v>1.5582683868955143</v>
      </c>
      <c r="T390" s="4" t="str">
        <f t="shared" si="311"/>
        <v>1+1.23984590877569i</v>
      </c>
      <c r="U390" s="4">
        <f t="shared" si="324"/>
        <v>1.5928646764580525</v>
      </c>
      <c r="V390" s="4">
        <f t="shared" si="325"/>
        <v>0.89207310826144526</v>
      </c>
      <c r="W390" t="str">
        <f t="shared" si="312"/>
        <v>1-0.72131992698054i</v>
      </c>
      <c r="X390" s="4">
        <f t="shared" si="326"/>
        <v>1.2330054489170805</v>
      </c>
      <c r="Y390" s="4">
        <f t="shared" si="327"/>
        <v>-0.62489179707565368</v>
      </c>
      <c r="Z390" t="str">
        <f t="shared" si="313"/>
        <v>0.997245771296662+0.482842726631871i</v>
      </c>
      <c r="AA390" s="4">
        <f t="shared" si="328"/>
        <v>1.1079874670005858</v>
      </c>
      <c r="AB390" s="4">
        <f t="shared" si="329"/>
        <v>0.45090866973142718</v>
      </c>
      <c r="AC390" s="47" t="str">
        <f t="shared" si="330"/>
        <v>-0.0742243919994638-0.429311140019666i</v>
      </c>
      <c r="AD390" s="20">
        <f t="shared" si="331"/>
        <v>-7.2166417335367496</v>
      </c>
      <c r="AE390" s="43">
        <f t="shared" si="332"/>
        <v>-99.809004143523666</v>
      </c>
      <c r="AF390" t="str">
        <f t="shared" si="314"/>
        <v>72.2956529813786</v>
      </c>
      <c r="AG390" t="str">
        <f t="shared" si="315"/>
        <v>1+65.0919102107239i</v>
      </c>
      <c r="AH390">
        <f t="shared" si="333"/>
        <v>65.099591203639235</v>
      </c>
      <c r="AI390">
        <f t="shared" si="334"/>
        <v>1.5554346430605737</v>
      </c>
      <c r="AJ390" t="str">
        <f t="shared" si="316"/>
        <v>1+1.23984590877569i</v>
      </c>
      <c r="AK390">
        <f t="shared" si="335"/>
        <v>1.5928646764580525</v>
      </c>
      <c r="AL390">
        <f t="shared" si="336"/>
        <v>0.89207310826144526</v>
      </c>
      <c r="AM390" t="str">
        <f t="shared" si="317"/>
        <v>1-0.159637717970467i</v>
      </c>
      <c r="AN390">
        <f t="shared" si="337"/>
        <v>1.01266193816042</v>
      </c>
      <c r="AO390">
        <f t="shared" si="338"/>
        <v>-0.15830200312714979</v>
      </c>
      <c r="AP390" s="41" t="str">
        <f t="shared" si="339"/>
        <v>1.21990760438034-1.31175973960729i</v>
      </c>
      <c r="AQ390">
        <f t="shared" si="340"/>
        <v>5.0635458320242943</v>
      </c>
      <c r="AR390" s="43">
        <f t="shared" si="341"/>
        <v>-47.077852902963137</v>
      </c>
      <c r="AS390" t="str">
        <f t="shared" si="318"/>
        <v>-0.0000166666666666667</v>
      </c>
      <c r="AT390" t="str">
        <f t="shared" si="319"/>
        <v>0.00112113725793547i</v>
      </c>
      <c r="AU390">
        <f t="shared" si="342"/>
        <v>1.12113725793547E-3</v>
      </c>
      <c r="AV390">
        <f t="shared" si="343"/>
        <v>1.5707963267948966</v>
      </c>
      <c r="AW390" t="str">
        <f t="shared" si="320"/>
        <v>1+1.12016741601684i</v>
      </c>
      <c r="AX390">
        <f t="shared" si="344"/>
        <v>1.5015908363818169</v>
      </c>
      <c r="AY390">
        <f t="shared" si="345"/>
        <v>0.84201585606136786</v>
      </c>
      <c r="AZ390" t="str">
        <f t="shared" si="321"/>
        <v>1+38.0856921445725i</v>
      </c>
      <c r="BA390">
        <f t="shared" si="346"/>
        <v>38.098818172367906</v>
      </c>
      <c r="BB390">
        <f t="shared" si="347"/>
        <v>1.544545778726589</v>
      </c>
      <c r="BC390" s="41" t="str">
        <f t="shared" si="348"/>
        <v>-0.243715763979822+0.287868315037264i</v>
      </c>
      <c r="BD390">
        <f t="shared" si="349"/>
        <v>-8.4690028206681092</v>
      </c>
      <c r="BE390" s="43">
        <f t="shared" si="350"/>
        <v>130.25199955036919</v>
      </c>
      <c r="BF390" s="41" t="str">
        <f t="shared" si="351"/>
        <v>0.141674728906275+0.0832630418153902i</v>
      </c>
      <c r="BG390" s="20">
        <f t="shared" si="352"/>
        <v>-15.685644554204874</v>
      </c>
      <c r="BH390" s="43">
        <f t="shared" si="353"/>
        <v>30.442995406845569</v>
      </c>
      <c r="BI390" s="41" t="str">
        <f t="shared" si="357"/>
        <v>0.0803033521881217+0.670869273670477i</v>
      </c>
      <c r="BJ390" s="20">
        <f t="shared" si="354"/>
        <v>-3.405456988643814</v>
      </c>
      <c r="BK390" s="43">
        <f t="shared" si="358"/>
        <v>83.174146647406062</v>
      </c>
      <c r="BL390">
        <f t="shared" si="355"/>
        <v>-15.685644554204874</v>
      </c>
      <c r="BM390" s="43">
        <f t="shared" si="356"/>
        <v>30.442995406845569</v>
      </c>
    </row>
    <row r="391" spans="14:65" x14ac:dyDescent="0.25">
      <c r="N391" s="9">
        <v>73</v>
      </c>
      <c r="O391" s="34">
        <f t="shared" si="359"/>
        <v>53703.179637025423</v>
      </c>
      <c r="P391" s="33" t="str">
        <f t="shared" si="309"/>
        <v>19.6196196196196</v>
      </c>
      <c r="Q391" s="4" t="str">
        <f t="shared" si="310"/>
        <v>1+81.6765936703527i</v>
      </c>
      <c r="R391" s="4">
        <f t="shared" si="322"/>
        <v>81.68271514581221</v>
      </c>
      <c r="S391" s="4">
        <f t="shared" si="323"/>
        <v>1.5585535287969501</v>
      </c>
      <c r="T391" s="4" t="str">
        <f t="shared" si="311"/>
        <v>1+1.26872562995813i</v>
      </c>
      <c r="U391" s="4">
        <f t="shared" si="324"/>
        <v>1.6154456735256231</v>
      </c>
      <c r="V391" s="4">
        <f t="shared" si="325"/>
        <v>0.90329667452686946</v>
      </c>
      <c r="W391" t="str">
        <f t="shared" si="312"/>
        <v>1-0.738121626471653i</v>
      </c>
      <c r="X391" s="4">
        <f t="shared" si="326"/>
        <v>1.2429093029924423</v>
      </c>
      <c r="Y391" s="4">
        <f t="shared" si="327"/>
        <v>-0.63585550554543069</v>
      </c>
      <c r="Z391" t="str">
        <f t="shared" si="313"/>
        <v>0.997115968496873+0.494089578536126i</v>
      </c>
      <c r="AA391" s="4">
        <f t="shared" si="328"/>
        <v>1.1128183887092555</v>
      </c>
      <c r="AB391" s="4">
        <f t="shared" si="329"/>
        <v>0.46005612255334627</v>
      </c>
      <c r="AC391" s="47" t="str">
        <f t="shared" si="330"/>
        <v>-0.0777463410399835-0.426348347822589i</v>
      </c>
      <c r="AD391" s="20">
        <f t="shared" si="331"/>
        <v>-7.262641590546437</v>
      </c>
      <c r="AE391" s="43">
        <f t="shared" si="332"/>
        <v>-100.33456325606504</v>
      </c>
      <c r="AF391" t="str">
        <f t="shared" si="314"/>
        <v>72.2956529813786</v>
      </c>
      <c r="AG391" t="str">
        <f t="shared" si="315"/>
        <v>1+66.6080955728019i</v>
      </c>
      <c r="AH391">
        <f t="shared" si="333"/>
        <v>66.615601744902918</v>
      </c>
      <c r="AI391">
        <f t="shared" si="334"/>
        <v>1.555784264528272</v>
      </c>
      <c r="AJ391" t="str">
        <f t="shared" si="316"/>
        <v>1+1.26872562995813i</v>
      </c>
      <c r="AK391">
        <f t="shared" si="335"/>
        <v>1.6154456735256231</v>
      </c>
      <c r="AL391">
        <f t="shared" si="336"/>
        <v>0.90329667452686946</v>
      </c>
      <c r="AM391" t="str">
        <f t="shared" si="317"/>
        <v>1-0.163356158102871i</v>
      </c>
      <c r="AN391">
        <f t="shared" si="337"/>
        <v>1.013254772695461</v>
      </c>
      <c r="AO391">
        <f t="shared" si="338"/>
        <v>-0.16192592310571566</v>
      </c>
      <c r="AP391" s="41" t="str">
        <f t="shared" si="339"/>
        <v>1.21915276669812-1.29203624861675i</v>
      </c>
      <c r="AQ391">
        <f t="shared" si="340"/>
        <v>4.9909448998407493</v>
      </c>
      <c r="AR391" s="43">
        <f t="shared" si="341"/>
        <v>-46.662457079460189</v>
      </c>
      <c r="AS391" t="str">
        <f t="shared" si="318"/>
        <v>-0.0000166666666666667</v>
      </c>
      <c r="AT391" t="str">
        <f t="shared" si="319"/>
        <v>0.00114725189943023i</v>
      </c>
      <c r="AU391">
        <f t="shared" si="342"/>
        <v>1.1472518994302299E-3</v>
      </c>
      <c r="AV391">
        <f t="shared" si="343"/>
        <v>1.5707963267948966</v>
      </c>
      <c r="AW391" t="str">
        <f t="shared" si="320"/>
        <v>1+1.14625946699127i</v>
      </c>
      <c r="AX391">
        <f t="shared" si="344"/>
        <v>1.521154418744892</v>
      </c>
      <c r="AY391">
        <f t="shared" si="345"/>
        <v>0.85343918680028674</v>
      </c>
      <c r="AZ391" t="str">
        <f t="shared" si="321"/>
        <v>1+38.9728218777032i</v>
      </c>
      <c r="BA391">
        <f t="shared" si="346"/>
        <v>38.985649220080731</v>
      </c>
      <c r="BB391">
        <f t="shared" si="347"/>
        <v>1.545143048980977</v>
      </c>
      <c r="BC391" s="41" t="str">
        <f t="shared" si="348"/>
        <v>-0.237487214116857+0.286749436699641i</v>
      </c>
      <c r="BD391">
        <f t="shared" si="349"/>
        <v>-8.5815713657798476</v>
      </c>
      <c r="BE391" s="43">
        <f t="shared" si="350"/>
        <v>129.63171197585223</v>
      </c>
      <c r="BF391" s="41" t="str">
        <f t="shared" si="351"/>
        <v>0.140718910517315+0.078958561869038i</v>
      </c>
      <c r="BG391" s="20">
        <f t="shared" si="352"/>
        <v>-15.844212956326274</v>
      </c>
      <c r="BH391" s="43">
        <f t="shared" si="353"/>
        <v>29.297148719787174</v>
      </c>
      <c r="BI391" s="41" t="str">
        <f t="shared" si="357"/>
        <v>0.0809574723403754+0.656433458323481i</v>
      </c>
      <c r="BJ391" s="20">
        <f t="shared" si="354"/>
        <v>-3.5906264659391054</v>
      </c>
      <c r="BK391" s="43">
        <f t="shared" si="358"/>
        <v>82.969254896392059</v>
      </c>
      <c r="BL391">
        <f t="shared" si="355"/>
        <v>-15.844212956326274</v>
      </c>
      <c r="BM391" s="43">
        <f t="shared" si="356"/>
        <v>29.297148719787174</v>
      </c>
    </row>
    <row r="392" spans="14:65" x14ac:dyDescent="0.25">
      <c r="N392" s="9">
        <v>74</v>
      </c>
      <c r="O392" s="34">
        <f t="shared" si="359"/>
        <v>54954.087385762505</v>
      </c>
      <c r="P392" s="33" t="str">
        <f t="shared" si="309"/>
        <v>19.6196196196196</v>
      </c>
      <c r="Q392" s="4" t="str">
        <f t="shared" si="310"/>
        <v>1+83.5790859362344i</v>
      </c>
      <c r="R392" s="4">
        <f t="shared" si="322"/>
        <v>83.585068079989355</v>
      </c>
      <c r="S392" s="4">
        <f t="shared" si="323"/>
        <v>1.5588321820001008</v>
      </c>
      <c r="T392" s="4" t="str">
        <f t="shared" si="311"/>
        <v>1+1.29827804626314i</v>
      </c>
      <c r="U392" s="4">
        <f t="shared" si="324"/>
        <v>1.6387574211605682</v>
      </c>
      <c r="V392" s="4">
        <f t="shared" si="325"/>
        <v>0.91446003599781744</v>
      </c>
      <c r="W392" t="str">
        <f t="shared" si="312"/>
        <v>1-0.755314687819313i</v>
      </c>
      <c r="X392" s="4">
        <f t="shared" si="326"/>
        <v>1.2531960252233432</v>
      </c>
      <c r="Y392" s="4">
        <f t="shared" si="327"/>
        <v>-0.6468938409170758</v>
      </c>
      <c r="Z392" t="str">
        <f t="shared" si="313"/>
        <v>0.996980048279598+0.505598403274969i</v>
      </c>
      <c r="AA392" s="4">
        <f t="shared" si="328"/>
        <v>1.1178546247441068</v>
      </c>
      <c r="AB392" s="4">
        <f t="shared" si="329"/>
        <v>0.46933525542721416</v>
      </c>
      <c r="AC392" s="47" t="str">
        <f t="shared" si="330"/>
        <v>-0.0813592450085967-0.423486803129735i</v>
      </c>
      <c r="AD392" s="20">
        <f t="shared" si="331"/>
        <v>-7.3057953025285656</v>
      </c>
      <c r="AE392" s="43">
        <f t="shared" si="332"/>
        <v>-100.875020591948</v>
      </c>
      <c r="AF392" t="str">
        <f t="shared" si="314"/>
        <v>72.2956529813786</v>
      </c>
      <c r="AG392" t="str">
        <f t="shared" si="315"/>
        <v>1+68.1595974288148i</v>
      </c>
      <c r="AH392">
        <f t="shared" si="333"/>
        <v>68.166932758179016</v>
      </c>
      <c r="AI392">
        <f t="shared" si="334"/>
        <v>1.5561259311863271</v>
      </c>
      <c r="AJ392" t="str">
        <f t="shared" si="316"/>
        <v>1+1.29827804626314i</v>
      </c>
      <c r="AK392">
        <f t="shared" si="335"/>
        <v>1.6387574211605682</v>
      </c>
      <c r="AL392">
        <f t="shared" si="336"/>
        <v>0.91446003599781744</v>
      </c>
      <c r="AM392" t="str">
        <f t="shared" si="317"/>
        <v>1-0.167161211832574i</v>
      </c>
      <c r="AN392">
        <f t="shared" si="337"/>
        <v>1.0138751751282475</v>
      </c>
      <c r="AO392">
        <f t="shared" si="338"/>
        <v>-0.16562981787205161</v>
      </c>
      <c r="AP392" s="41" t="str">
        <f t="shared" si="339"/>
        <v>1.21843188734094-1.27299679220152i</v>
      </c>
      <c r="AQ392">
        <f t="shared" si="340"/>
        <v>4.9207518520546358</v>
      </c>
      <c r="AR392" s="43">
        <f t="shared" si="341"/>
        <v>-46.254637177374356</v>
      </c>
      <c r="AS392" t="str">
        <f t="shared" si="318"/>
        <v>-0.0000166666666666667</v>
      </c>
      <c r="AT392" t="str">
        <f t="shared" si="319"/>
        <v>0.00117397482906773i</v>
      </c>
      <c r="AU392">
        <f t="shared" si="342"/>
        <v>1.17397482906773E-3</v>
      </c>
      <c r="AV392">
        <f t="shared" si="343"/>
        <v>1.5707963267948966</v>
      </c>
      <c r="AW392" t="str">
        <f t="shared" si="320"/>
        <v>1+1.17295927990764i</v>
      </c>
      <c r="AX392">
        <f t="shared" si="344"/>
        <v>1.5413738911508297</v>
      </c>
      <c r="AY392">
        <f t="shared" si="345"/>
        <v>0.86482689429262405</v>
      </c>
      <c r="AZ392" t="str">
        <f t="shared" si="321"/>
        <v>1+39.8806155168597i</v>
      </c>
      <c r="BA392">
        <f t="shared" si="346"/>
        <v>39.893150966094304</v>
      </c>
      <c r="BB392">
        <f t="shared" si="347"/>
        <v>1.5457267413945621</v>
      </c>
      <c r="BC392" s="41" t="str">
        <f t="shared" si="348"/>
        <v>-0.231297449023792+0.285499272908104i</v>
      </c>
      <c r="BD392">
        <f t="shared" si="349"/>
        <v>-8.6963938728671675</v>
      </c>
      <c r="BE392" s="43">
        <f t="shared" si="350"/>
        <v>129.01268751004417</v>
      </c>
      <c r="BF392" s="41" t="str">
        <f t="shared" si="351"/>
        <v>0.139723360204707+0.0747234119648419i</v>
      </c>
      <c r="BG392" s="20">
        <f t="shared" si="352"/>
        <v>-16.002189175395728</v>
      </c>
      <c r="BH392" s="43">
        <f t="shared" si="353"/>
        <v>28.137666918096155</v>
      </c>
      <c r="BI392" s="41" t="str">
        <f t="shared" si="357"/>
        <v>0.0816194712366789+0.642302328575569i</v>
      </c>
      <c r="BJ392" s="20">
        <f t="shared" si="354"/>
        <v>-3.7756420208125334</v>
      </c>
      <c r="BK392" s="43">
        <f t="shared" si="358"/>
        <v>82.758050332669825</v>
      </c>
      <c r="BL392">
        <f t="shared" si="355"/>
        <v>-16.002189175395728</v>
      </c>
      <c r="BM392" s="43">
        <f t="shared" si="356"/>
        <v>28.137666918096155</v>
      </c>
    </row>
    <row r="393" spans="14:65" x14ac:dyDescent="0.25">
      <c r="N393" s="9">
        <v>75</v>
      </c>
      <c r="O393" s="34">
        <f t="shared" si="359"/>
        <v>56234.132519034953</v>
      </c>
      <c r="P393" s="33" t="str">
        <f t="shared" si="309"/>
        <v>19.6196196196196</v>
      </c>
      <c r="Q393" s="4" t="str">
        <f t="shared" si="310"/>
        <v>1+85.5258929397796i</v>
      </c>
      <c r="R393" s="4">
        <f t="shared" si="322"/>
        <v>85.531738922733481</v>
      </c>
      <c r="S393" s="4">
        <f t="shared" si="323"/>
        <v>1.5591044940773897</v>
      </c>
      <c r="T393" s="4" t="str">
        <f t="shared" si="311"/>
        <v>1+1.32851882677302i</v>
      </c>
      <c r="U393" s="4">
        <f t="shared" si="324"/>
        <v>1.6628175705982786</v>
      </c>
      <c r="V393" s="4">
        <f t="shared" si="325"/>
        <v>0.92555798269674305</v>
      </c>
      <c r="W393" t="str">
        <f t="shared" si="312"/>
        <v>1-0.772908227012228i</v>
      </c>
      <c r="X393" s="4">
        <f t="shared" si="326"/>
        <v>1.2638778134705846</v>
      </c>
      <c r="Y393" s="4">
        <f t="shared" si="327"/>
        <v>-0.65800189652287844</v>
      </c>
      <c r="Z393" t="str">
        <f t="shared" si="313"/>
        <v>0.996837722339832+0.517375302979614i</v>
      </c>
      <c r="AA393" s="4">
        <f t="shared" si="328"/>
        <v>1.123104024039141</v>
      </c>
      <c r="AB393" s="4">
        <f t="shared" si="329"/>
        <v>0.47874487581171293</v>
      </c>
      <c r="AC393" s="47" t="str">
        <f t="shared" si="330"/>
        <v>-0.0850637818443477-0.420719654423407i</v>
      </c>
      <c r="AD393" s="20">
        <f t="shared" si="331"/>
        <v>-7.3461401342326802</v>
      </c>
      <c r="AE393" s="43">
        <f t="shared" si="332"/>
        <v>-101.43033365723885</v>
      </c>
      <c r="AF393" t="str">
        <f t="shared" si="314"/>
        <v>72.2956529813786</v>
      </c>
      <c r="AG393" t="str">
        <f t="shared" si="315"/>
        <v>1+69.7472384055834i</v>
      </c>
      <c r="AH393">
        <f t="shared" si="333"/>
        <v>69.754406779824947</v>
      </c>
      <c r="AI393">
        <f t="shared" si="334"/>
        <v>1.556459823871662</v>
      </c>
      <c r="AJ393" t="str">
        <f t="shared" si="316"/>
        <v>1+1.32851882677302i</v>
      </c>
      <c r="AK393">
        <f t="shared" si="335"/>
        <v>1.6628175705982786</v>
      </c>
      <c r="AL393">
        <f t="shared" si="336"/>
        <v>0.92555798269674305</v>
      </c>
      <c r="AM393" t="str">
        <f t="shared" si="317"/>
        <v>1-0.171054896649432i</v>
      </c>
      <c r="AN393">
        <f t="shared" si="337"/>
        <v>1.014524409596806</v>
      </c>
      <c r="AO393">
        <f t="shared" si="338"/>
        <v>-0.16941524456955009</v>
      </c>
      <c r="AP393" s="41" t="str">
        <f t="shared" si="339"/>
        <v>1.21774343924891-1.25463134345115i</v>
      </c>
      <c r="AQ393">
        <f t="shared" si="340"/>
        <v>4.8529528128952313</v>
      </c>
      <c r="AR393" s="43">
        <f t="shared" si="341"/>
        <v>-45.854791285367675</v>
      </c>
      <c r="AS393" t="str">
        <f t="shared" si="318"/>
        <v>-0.0000166666666666667</v>
      </c>
      <c r="AT393" t="str">
        <f t="shared" si="319"/>
        <v>0.00120132021569901i</v>
      </c>
      <c r="AU393">
        <f t="shared" si="342"/>
        <v>1.2013202156990099E-3</v>
      </c>
      <c r="AV393">
        <f t="shared" si="343"/>
        <v>1.5707963267948966</v>
      </c>
      <c r="AW393" t="str">
        <f t="shared" si="320"/>
        <v>1+1.20028101136017i</v>
      </c>
      <c r="AX393">
        <f t="shared" si="344"/>
        <v>1.5622658244459529</v>
      </c>
      <c r="AY393">
        <f t="shared" si="345"/>
        <v>0.87617320327355241</v>
      </c>
      <c r="AZ393" t="str">
        <f t="shared" si="321"/>
        <v>1+40.8095543862456i</v>
      </c>
      <c r="BA393">
        <f t="shared" si="346"/>
        <v>40.821804580443739</v>
      </c>
      <c r="BB393">
        <f t="shared" si="347"/>
        <v>1.5462971638569796</v>
      </c>
      <c r="BC393" s="41" t="str">
        <f t="shared" si="348"/>
        <v>-0.225152604351862+0.284120021068999i</v>
      </c>
      <c r="BD393">
        <f t="shared" si="349"/>
        <v>-8.8134553766852228</v>
      </c>
      <c r="BE393" s="43">
        <f t="shared" si="350"/>
        <v>128.39527469202136</v>
      </c>
      <c r="BF393" s="41" t="str">
        <f t="shared" si="351"/>
        <v>0.138687209097194+0.0705578024056207i</v>
      </c>
      <c r="BG393" s="20">
        <f t="shared" si="352"/>
        <v>-16.159595510917896</v>
      </c>
      <c r="BH393" s="43">
        <f t="shared" si="353"/>
        <v>26.964941034782491</v>
      </c>
      <c r="BI393" s="41" t="str">
        <f t="shared" si="357"/>
        <v>0.0822877769558817+0.628468806095537i</v>
      </c>
      <c r="BJ393" s="20">
        <f t="shared" si="354"/>
        <v>-3.9605025637899964</v>
      </c>
      <c r="BK393" s="43">
        <f t="shared" si="358"/>
        <v>82.540483406653678</v>
      </c>
      <c r="BL393">
        <f t="shared" si="355"/>
        <v>-16.159595510917896</v>
      </c>
      <c r="BM393" s="43">
        <f t="shared" si="356"/>
        <v>26.964941034782491</v>
      </c>
    </row>
    <row r="394" spans="14:65" x14ac:dyDescent="0.25">
      <c r="N394" s="9">
        <v>76</v>
      </c>
      <c r="O394" s="34">
        <f t="shared" si="359"/>
        <v>57543.993733715732</v>
      </c>
      <c r="P394" s="33" t="str">
        <f t="shared" si="309"/>
        <v>19.6196196196196</v>
      </c>
      <c r="Q394" s="4" t="str">
        <f t="shared" si="310"/>
        <v>1+87.5180469038305i</v>
      </c>
      <c r="R394" s="4">
        <f t="shared" si="322"/>
        <v>87.523759824753142</v>
      </c>
      <c r="S394" s="4">
        <f t="shared" si="323"/>
        <v>1.5593706092506481</v>
      </c>
      <c r="T394" s="4" t="str">
        <f t="shared" si="311"/>
        <v>1+1.35946400554988i</v>
      </c>
      <c r="U394" s="4">
        <f t="shared" si="324"/>
        <v>1.6876440330785765</v>
      </c>
      <c r="V394" s="4">
        <f t="shared" si="325"/>
        <v>0.93658546437778367</v>
      </c>
      <c r="W394" t="str">
        <f t="shared" si="312"/>
        <v>1-0.790911572377756i</v>
      </c>
      <c r="X394" s="4">
        <f t="shared" si="326"/>
        <v>1.2749671036230912</v>
      </c>
      <c r="Y394" s="4">
        <f t="shared" si="327"/>
        <v>-0.6691745975817821</v>
      </c>
      <c r="Z394" t="str">
        <f t="shared" si="313"/>
        <v>0.996688688785174+0.529426521918171i</v>
      </c>
      <c r="AA394" s="4">
        <f t="shared" si="328"/>
        <v>1.1285746694227552</v>
      </c>
      <c r="AB394" s="4">
        <f t="shared" si="329"/>
        <v>0.48828360153280598</v>
      </c>
      <c r="AC394" s="47" t="str">
        <f t="shared" si="330"/>
        <v>-0.088860426783632-0.418040008214146i</v>
      </c>
      <c r="AD394" s="20">
        <f t="shared" si="331"/>
        <v>-7.3837170680249073</v>
      </c>
      <c r="AE394" s="43">
        <f t="shared" si="332"/>
        <v>-102.00043011673743</v>
      </c>
      <c r="AF394" t="str">
        <f t="shared" si="314"/>
        <v>72.2956529813786</v>
      </c>
      <c r="AG394" t="str">
        <f t="shared" si="315"/>
        <v>1+71.3718602913686i</v>
      </c>
      <c r="AH394">
        <f t="shared" si="333"/>
        <v>71.378865509691593</v>
      </c>
      <c r="AI394">
        <f t="shared" si="334"/>
        <v>1.5567861193206365</v>
      </c>
      <c r="AJ394" t="str">
        <f t="shared" si="316"/>
        <v>1+1.35946400554988i</v>
      </c>
      <c r="AK394">
        <f t="shared" si="335"/>
        <v>1.6876440330785765</v>
      </c>
      <c r="AL394">
        <f t="shared" si="336"/>
        <v>0.93658546437778367</v>
      </c>
      <c r="AM394" t="str">
        <f t="shared" si="317"/>
        <v>1-0.175039277036673i</v>
      </c>
      <c r="AN394">
        <f t="shared" si="337"/>
        <v>1.0152037965381735</v>
      </c>
      <c r="AO394">
        <f t="shared" si="338"/>
        <v>-0.17328377611854603</v>
      </c>
      <c r="AP394" s="41" t="str">
        <f t="shared" si="339"/>
        <v>1.2170859639754-1.23693022828332i</v>
      </c>
      <c r="AQ394">
        <f t="shared" si="340"/>
        <v>4.7875325015796015</v>
      </c>
      <c r="AR394" s="43">
        <f t="shared" si="341"/>
        <v>-45.463309009157435</v>
      </c>
      <c r="AS394" t="str">
        <f t="shared" si="318"/>
        <v>-0.0000166666666666667</v>
      </c>
      <c r="AT394" t="str">
        <f t="shared" si="319"/>
        <v>0.00122930255821i</v>
      </c>
      <c r="AU394">
        <f t="shared" si="342"/>
        <v>1.22930255821E-3</v>
      </c>
      <c r="AV394">
        <f t="shared" si="343"/>
        <v>1.5707963267948966</v>
      </c>
      <c r="AW394" t="str">
        <f t="shared" si="320"/>
        <v>1+1.22823914769252i</v>
      </c>
      <c r="AX394">
        <f t="shared" si="344"/>
        <v>1.583847026680433</v>
      </c>
      <c r="AY394">
        <f t="shared" si="345"/>
        <v>0.88747244484121113</v>
      </c>
      <c r="AZ394" t="str">
        <f t="shared" si="321"/>
        <v>1+41.7601310215455i</v>
      </c>
      <c r="BA394">
        <f t="shared" si="346"/>
        <v>41.772102448124947</v>
      </c>
      <c r="BB394">
        <f t="shared" si="347"/>
        <v>1.5468546173280784</v>
      </c>
      <c r="BC394" s="41" t="str">
        <f t="shared" si="348"/>
        <v>-0.21905863257215+0.282614211302589i</v>
      </c>
      <c r="BD394">
        <f t="shared" si="349"/>
        <v>-8.9327386993349691</v>
      </c>
      <c r="BE394" s="43">
        <f t="shared" si="350"/>
        <v>127.77981556966482</v>
      </c>
      <c r="BF394" s="41" t="str">
        <f t="shared" si="351"/>
        <v>0.137609690795369+0.0664620531283736i</v>
      </c>
      <c r="BG394" s="20">
        <f t="shared" si="352"/>
        <v>-16.316455767359866</v>
      </c>
      <c r="BH394" s="43">
        <f t="shared" si="353"/>
        <v>25.779385452927354</v>
      </c>
      <c r="BI394" s="41" t="str">
        <f t="shared" si="357"/>
        <v>0.0829608739114138+0.61492603419126i</v>
      </c>
      <c r="BJ394" s="20">
        <f t="shared" si="354"/>
        <v>-4.1452061977553729</v>
      </c>
      <c r="BK394" s="43">
        <f t="shared" si="358"/>
        <v>82.316506560507378</v>
      </c>
      <c r="BL394">
        <f t="shared" si="355"/>
        <v>-16.316455767359866</v>
      </c>
      <c r="BM394" s="43">
        <f t="shared" si="356"/>
        <v>25.779385452927354</v>
      </c>
    </row>
    <row r="395" spans="14:65" x14ac:dyDescent="0.25">
      <c r="N395" s="9">
        <v>77</v>
      </c>
      <c r="O395" s="34">
        <f t="shared" si="359"/>
        <v>58884.365535558936</v>
      </c>
      <c r="P395" s="33" t="str">
        <f t="shared" si="309"/>
        <v>19.6196196196196</v>
      </c>
      <c r="Q395" s="4" t="str">
        <f t="shared" si="310"/>
        <v>1+89.5566040947881i</v>
      </c>
      <c r="R395" s="4">
        <f t="shared" si="322"/>
        <v>89.56218698195471</v>
      </c>
      <c r="S395" s="4">
        <f t="shared" si="323"/>
        <v>1.5596306684668118</v>
      </c>
      <c r="T395" s="4" t="str">
        <f t="shared" si="311"/>
        <v>1+1.39112999013711i</v>
      </c>
      <c r="U395" s="4">
        <f t="shared" si="324"/>
        <v>1.7132549867018849</v>
      </c>
      <c r="V395" s="4">
        <f t="shared" si="325"/>
        <v>0.94753760031250056</v>
      </c>
      <c r="W395" t="str">
        <f t="shared" si="312"/>
        <v>1-0.80933426952791i</v>
      </c>
      <c r="X395" s="4">
        <f t="shared" si="326"/>
        <v>1.2864765679297372</v>
      </c>
      <c r="Y395" s="4">
        <f t="shared" si="327"/>
        <v>-0.68040671112409878</v>
      </c>
      <c r="Z395" t="str">
        <f t="shared" si="313"/>
        <v>0.996532631495475+0.541758449806437i</v>
      </c>
      <c r="AA395" s="4">
        <f t="shared" si="328"/>
        <v>1.1342748800762406</v>
      </c>
      <c r="AB395" s="4">
        <f t="shared" si="329"/>
        <v>0.49794985593498103</v>
      </c>
      <c r="AC395" s="47" t="str">
        <f t="shared" si="330"/>
        <v>-0.0927494415107241-0.41544093685841i</v>
      </c>
      <c r="AD395" s="20">
        <f t="shared" si="331"/>
        <v>-7.418570721428237</v>
      </c>
      <c r="AE395" s="43">
        <f t="shared" si="332"/>
        <v>-102.58520752846509</v>
      </c>
      <c r="AF395" t="str">
        <f t="shared" si="314"/>
        <v>72.2956529813786</v>
      </c>
      <c r="AG395" t="str">
        <f t="shared" si="315"/>
        <v>1+73.0343244821986i</v>
      </c>
      <c r="AH395">
        <f t="shared" si="333"/>
        <v>73.041170257403962</v>
      </c>
      <c r="AI395">
        <f t="shared" si="334"/>
        <v>1.5571049902613352</v>
      </c>
      <c r="AJ395" t="str">
        <f t="shared" si="316"/>
        <v>1+1.39112999013711i</v>
      </c>
      <c r="AK395">
        <f t="shared" si="335"/>
        <v>1.7132549867018849</v>
      </c>
      <c r="AL395">
        <f t="shared" si="336"/>
        <v>0.94753760031250056</v>
      </c>
      <c r="AM395" t="str">
        <f t="shared" si="317"/>
        <v>1-0.179116465565516i</v>
      </c>
      <c r="AN395">
        <f t="shared" si="337"/>
        <v>1.0159147150409245</v>
      </c>
      <c r="AO395">
        <f t="shared" si="338"/>
        <v>-0.17723700027707681</v>
      </c>
      <c r="AP395" s="41" t="str">
        <f t="shared" si="339"/>
        <v>1.21645806860906-1.21988412061718i</v>
      </c>
      <c r="AQ395">
        <f t="shared" si="340"/>
        <v>4.7244743472233743</v>
      </c>
      <c r="AR395" s="43">
        <f t="shared" si="341"/>
        <v>-45.080570862309095</v>
      </c>
      <c r="AS395" t="str">
        <f t="shared" si="318"/>
        <v>-0.0000166666666666667</v>
      </c>
      <c r="AT395" t="str">
        <f t="shared" si="319"/>
        <v>0.00125793669320909i</v>
      </c>
      <c r="AU395">
        <f t="shared" si="342"/>
        <v>1.25793669320909E-3</v>
      </c>
      <c r="AV395">
        <f t="shared" si="343"/>
        <v>1.5707963267948966</v>
      </c>
      <c r="AW395" t="str">
        <f t="shared" si="320"/>
        <v>1+1.25684851267864i</v>
      </c>
      <c r="AX395">
        <f t="shared" si="344"/>
        <v>1.6061345472352277</v>
      </c>
      <c r="AY395">
        <f t="shared" si="345"/>
        <v>0.89871906988960981</v>
      </c>
      <c r="AZ395" t="str">
        <f t="shared" si="321"/>
        <v>1+42.7328494310736i</v>
      </c>
      <c r="BA395">
        <f t="shared" si="346"/>
        <v>42.744548430166013</v>
      </c>
      <c r="BB395">
        <f t="shared" si="347"/>
        <v>1.5473993959904246</v>
      </c>
      <c r="BC395" s="41" t="str">
        <f t="shared" si="348"/>
        <v>-0.21302128114749+0.280984689784206i</v>
      </c>
      <c r="BD395">
        <f t="shared" si="349"/>
        <v>-9.0542245215020429</v>
      </c>
      <c r="BE395" s="43">
        <f t="shared" si="350"/>
        <v>127.1666449387466</v>
      </c>
      <c r="BF395" s="41" t="str">
        <f t="shared" si="351"/>
        <v>0.136490147623149+0.0624365875601428i</v>
      </c>
      <c r="BG395" s="20">
        <f t="shared" si="352"/>
        <v>-16.472795242930271</v>
      </c>
      <c r="BH395" s="43">
        <f t="shared" si="353"/>
        <v>24.581437410281481</v>
      </c>
      <c r="BI395" s="41" t="str">
        <f t="shared" si="357"/>
        <v>0.083637304966994+0.601667371268962i</v>
      </c>
      <c r="BJ395" s="20">
        <f t="shared" si="354"/>
        <v>-4.3297501742786677</v>
      </c>
      <c r="BK395" s="43">
        <f t="shared" si="358"/>
        <v>82.086074076437498</v>
      </c>
      <c r="BL395">
        <f t="shared" si="355"/>
        <v>-16.472795242930271</v>
      </c>
      <c r="BM395" s="43">
        <f t="shared" si="356"/>
        <v>24.581437410281481</v>
      </c>
    </row>
    <row r="396" spans="14:65" x14ac:dyDescent="0.25">
      <c r="N396" s="9">
        <v>78</v>
      </c>
      <c r="O396" s="34">
        <f t="shared" si="359"/>
        <v>60255.95860743591</v>
      </c>
      <c r="P396" s="33" t="str">
        <f t="shared" si="309"/>
        <v>19.6196196196196</v>
      </c>
      <c r="Q396" s="4" t="str">
        <f t="shared" si="310"/>
        <v>1+91.6426453826588i</v>
      </c>
      <c r="R396" s="4">
        <f t="shared" si="322"/>
        <v>91.648101195451702</v>
      </c>
      <c r="S396" s="4">
        <f t="shared" si="323"/>
        <v>1.5598848094719353</v>
      </c>
      <c r="T396" s="4" t="str">
        <f t="shared" si="311"/>
        <v>1+1.42353357025891i</v>
      </c>
      <c r="U396" s="4">
        <f t="shared" si="324"/>
        <v>1.7396688839127057</v>
      </c>
      <c r="V396" s="4">
        <f t="shared" si="325"/>
        <v>0.9584096881284776</v>
      </c>
      <c r="W396" t="str">
        <f t="shared" si="312"/>
        <v>1-0.828186086420576i</v>
      </c>
      <c r="X396" s="4">
        <f t="shared" si="326"/>
        <v>1.298419113283777</v>
      </c>
      <c r="Y396" s="4">
        <f t="shared" si="327"/>
        <v>-0.69169285682358328</v>
      </c>
      <c r="Z396" t="str">
        <f t="shared" si="313"/>
        <v>0.996369219452299+0.554377625195813i</v>
      </c>
      <c r="AA396" s="4">
        <f t="shared" si="328"/>
        <v>1.1402132137410674</v>
      </c>
      <c r="AB396" s="4">
        <f t="shared" si="329"/>
        <v>0.50774186350682826</v>
      </c>
      <c r="AC396" s="47" t="str">
        <f t="shared" si="330"/>
        <v>-0.0967308636615149-0.412915487557627i</v>
      </c>
      <c r="AD396" s="20">
        <f t="shared" si="331"/>
        <v>-7.4507492501294088</v>
      </c>
      <c r="AE396" s="43">
        <f t="shared" si="332"/>
        <v>-103.18453321148606</v>
      </c>
      <c r="AF396" t="str">
        <f t="shared" si="314"/>
        <v>72.2956529813786</v>
      </c>
      <c r="AG396" t="str">
        <f t="shared" si="315"/>
        <v>1+74.7355124385927i</v>
      </c>
      <c r="AH396">
        <f t="shared" si="333"/>
        <v>74.742202399039897</v>
      </c>
      <c r="AI396">
        <f t="shared" si="334"/>
        <v>1.5574166055038237</v>
      </c>
      <c r="AJ396" t="str">
        <f t="shared" si="316"/>
        <v>1+1.42353357025891i</v>
      </c>
      <c r="AK396">
        <f t="shared" si="335"/>
        <v>1.7396688839127057</v>
      </c>
      <c r="AL396">
        <f t="shared" si="336"/>
        <v>0.9584096881284776</v>
      </c>
      <c r="AM396" t="str">
        <f t="shared" si="317"/>
        <v>1-0.18328862401529i</v>
      </c>
      <c r="AN396">
        <f t="shared" si="337"/>
        <v>1.0166586052817428</v>
      </c>
      <c r="AO396">
        <f t="shared" si="338"/>
        <v>-0.18127651860432437</v>
      </c>
      <c r="AP396" s="41" t="str">
        <f t="shared" si="339"/>
        <v>1.2158584228336-1.20348403771103i</v>
      </c>
      <c r="AQ396">
        <f t="shared" si="340"/>
        <v>4.6637606085342815</v>
      </c>
      <c r="AR396" s="43">
        <f t="shared" si="341"/>
        <v>-44.706947705601465</v>
      </c>
      <c r="AS396" t="str">
        <f t="shared" si="318"/>
        <v>-0.0000166666666666667</v>
      </c>
      <c r="AT396" t="str">
        <f t="shared" si="319"/>
        <v>0.00128723780289369i</v>
      </c>
      <c r="AU396">
        <f t="shared" si="342"/>
        <v>1.28723780289369E-3</v>
      </c>
      <c r="AV396">
        <f t="shared" si="343"/>
        <v>1.5707963267948966</v>
      </c>
      <c r="AW396" t="str">
        <f t="shared" si="320"/>
        <v>1+1.28612427538254i</v>
      </c>
      <c r="AX396">
        <f t="shared" si="344"/>
        <v>1.6291456815546803</v>
      </c>
      <c r="AY396">
        <f t="shared" si="345"/>
        <v>0.90990766181228866</v>
      </c>
      <c r="AZ396" t="str">
        <f t="shared" si="321"/>
        <v>1+43.7282253630064i</v>
      </c>
      <c r="BA396">
        <f t="shared" si="346"/>
        <v>43.7396581307842</v>
      </c>
      <c r="BB396">
        <f t="shared" si="347"/>
        <v>1.5479317873986833</v>
      </c>
      <c r="BC396" s="41" t="str">
        <f t="shared" si="348"/>
        <v>-0.207046072425465+0.279234600447889i</v>
      </c>
      <c r="BD396">
        <f t="shared" si="349"/>
        <v>-9.177891461305876</v>
      </c>
      <c r="BE396" s="43">
        <f t="shared" si="350"/>
        <v>126.55608962362514</v>
      </c>
      <c r="BF396" s="41" t="str">
        <f t="shared" si="351"/>
        <v>0.135328036590339+0.0584819258769503i</v>
      </c>
      <c r="BG396" s="20">
        <f t="shared" si="352"/>
        <v>-16.628640711435288</v>
      </c>
      <c r="BH396" s="43">
        <f t="shared" si="353"/>
        <v>23.3715564121391</v>
      </c>
      <c r="BI396" s="41" t="str">
        <f t="shared" si="357"/>
        <v>0.0843156733425345+0.58868638413595i</v>
      </c>
      <c r="BJ396" s="20">
        <f t="shared" si="354"/>
        <v>-4.5141308527715918</v>
      </c>
      <c r="BK396" s="43">
        <f t="shared" si="358"/>
        <v>81.84914191802369</v>
      </c>
      <c r="BL396">
        <f t="shared" si="355"/>
        <v>-16.628640711435288</v>
      </c>
      <c r="BM396" s="43">
        <f t="shared" si="356"/>
        <v>23.3715564121391</v>
      </c>
    </row>
    <row r="397" spans="14:65" x14ac:dyDescent="0.25">
      <c r="N397" s="9">
        <v>79</v>
      </c>
      <c r="O397" s="34">
        <f t="shared" si="359"/>
        <v>61659.500186148245</v>
      </c>
      <c r="P397" s="33" t="str">
        <f t="shared" si="309"/>
        <v>19.6196196196196</v>
      </c>
      <c r="Q397" s="4" t="str">
        <f t="shared" si="310"/>
        <v>1+93.7772768141448i</v>
      </c>
      <c r="R397" s="4">
        <f t="shared" si="322"/>
        <v>93.782608444619086</v>
      </c>
      <c r="S397" s="4">
        <f t="shared" si="323"/>
        <v>1.5601331668835525</v>
      </c>
      <c r="T397" s="4" t="str">
        <f t="shared" si="311"/>
        <v>1+1.45669192672234i</v>
      </c>
      <c r="U397" s="4">
        <f t="shared" si="324"/>
        <v>1.7669044596066998</v>
      </c>
      <c r="V397" s="4">
        <f t="shared" si="325"/>
        <v>0.96919721167611306</v>
      </c>
      <c r="W397" t="str">
        <f t="shared" si="312"/>
        <v>1-0.847477018538597i</v>
      </c>
      <c r="X397" s="4">
        <f t="shared" si="326"/>
        <v>1.3108078794968656</v>
      </c>
      <c r="Y397" s="4">
        <f t="shared" si="327"/>
        <v>-0.70302751869227287</v>
      </c>
      <c r="Z397" t="str">
        <f t="shared" si="313"/>
        <v>0.996198106036794+0.567290738940121i</v>
      </c>
      <c r="AA397" s="4">
        <f t="shared" si="328"/>
        <v>1.1463984686654656</v>
      </c>
      <c r="AB397" s="4">
        <f t="shared" si="329"/>
        <v>0.51765764603635211</v>
      </c>
      <c r="AC397" s="47" t="str">
        <f t="shared" si="330"/>
        <v>-0.100804496798095-0.410456692542159i</v>
      </c>
      <c r="AD397" s="20">
        <f t="shared" si="331"/>
        <v>-7.4803042366725787</v>
      </c>
      <c r="AE397" s="43">
        <f t="shared" si="332"/>
        <v>-103.79824424909999</v>
      </c>
      <c r="AF397" t="str">
        <f t="shared" si="314"/>
        <v>72.2956529813786</v>
      </c>
      <c r="AG397" t="str">
        <f t="shared" si="315"/>
        <v>1+76.4763261529229i</v>
      </c>
      <c r="AH397">
        <f t="shared" si="333"/>
        <v>76.482863844447138</v>
      </c>
      <c r="AI397">
        <f t="shared" si="334"/>
        <v>1.5577211300284162</v>
      </c>
      <c r="AJ397" t="str">
        <f t="shared" si="316"/>
        <v>1+1.45669192672234i</v>
      </c>
      <c r="AK397">
        <f t="shared" si="335"/>
        <v>1.7669044596066998</v>
      </c>
      <c r="AL397">
        <f t="shared" si="336"/>
        <v>0.96919721167611306</v>
      </c>
      <c r="AM397" t="str">
        <f t="shared" si="317"/>
        <v>1-0.187557964519628i</v>
      </c>
      <c r="AN397">
        <f t="shared" si="337"/>
        <v>1.0174369710477136</v>
      </c>
      <c r="AO397">
        <f t="shared" si="338"/>
        <v>-0.18540394532102925</v>
      </c>
      <c r="AP397" s="41" t="str">
        <f t="shared" si="339"/>
        <v>1.21528575611893-1.18772133566324i</v>
      </c>
      <c r="AQ397">
        <f t="shared" si="340"/>
        <v>4.6053724974934127</v>
      </c>
      <c r="AR397" s="43">
        <f t="shared" si="341"/>
        <v>-44.34280023605794</v>
      </c>
      <c r="AS397" t="str">
        <f t="shared" si="318"/>
        <v>-0.0000166666666666667</v>
      </c>
      <c r="AT397" t="str">
        <f t="shared" si="319"/>
        <v>0.00131722142309999i</v>
      </c>
      <c r="AU397">
        <f t="shared" si="342"/>
        <v>1.3172214230999901E-3</v>
      </c>
      <c r="AV397">
        <f t="shared" si="343"/>
        <v>1.5707963267948966</v>
      </c>
      <c r="AW397" t="str">
        <f t="shared" si="320"/>
        <v>1+1.31608195820112i</v>
      </c>
      <c r="AX397">
        <f t="shared" si="344"/>
        <v>1.652897976495372</v>
      </c>
      <c r="AY397">
        <f t="shared" si="345"/>
        <v>0.92103294841216521</v>
      </c>
      <c r="AZ397" t="str">
        <f t="shared" si="321"/>
        <v>1+44.7467865788379i</v>
      </c>
      <c r="BA397">
        <f t="shared" si="346"/>
        <v>44.757959170767244</v>
      </c>
      <c r="BB397">
        <f t="shared" si="347"/>
        <v>1.5484520726259232</v>
      </c>
      <c r="BC397" s="41" t="str">
        <f t="shared" si="348"/>
        <v>-0.201138285385857+0.277367365252336i</v>
      </c>
      <c r="BD397">
        <f t="shared" si="349"/>
        <v>-9.3037161601100475</v>
      </c>
      <c r="BE397" s="43">
        <f t="shared" si="350"/>
        <v>125.94846780324262</v>
      </c>
      <c r="BF397" s="41" t="str">
        <f t="shared" si="351"/>
        <v>0.13412293500576+0.0545986776806046i</v>
      </c>
      <c r="BG397" s="20">
        <f t="shared" si="352"/>
        <v>-16.784020396782612</v>
      </c>
      <c r="BH397" s="43">
        <f t="shared" si="353"/>
        <v>22.150223554142599</v>
      </c>
      <c r="BI397" s="41" t="str">
        <f t="shared" si="357"/>
        <v>0.0849946442872818+0.575976841174905i</v>
      </c>
      <c r="BJ397" s="20">
        <f t="shared" si="354"/>
        <v>-4.6983436626166295</v>
      </c>
      <c r="BK397" s="43">
        <f t="shared" si="358"/>
        <v>81.60566756718471</v>
      </c>
      <c r="BL397">
        <f t="shared" si="355"/>
        <v>-16.784020396782612</v>
      </c>
      <c r="BM397" s="43">
        <f t="shared" si="356"/>
        <v>22.150223554142599</v>
      </c>
    </row>
    <row r="398" spans="14:65" x14ac:dyDescent="0.25">
      <c r="N398" s="9">
        <v>80</v>
      </c>
      <c r="O398" s="34">
        <f t="shared" si="359"/>
        <v>63095.734448019342</v>
      </c>
      <c r="P398" s="33" t="str">
        <f t="shared" si="309"/>
        <v>19.6196196196196</v>
      </c>
      <c r="Q398" s="4" t="str">
        <f t="shared" si="310"/>
        <v>1+95.9616301990867i</v>
      </c>
      <c r="R398" s="4">
        <f t="shared" si="322"/>
        <v>95.966840473500369</v>
      </c>
      <c r="S398" s="4">
        <f t="shared" si="323"/>
        <v>1.5603758722614283</v>
      </c>
      <c r="T398" s="4" t="str">
        <f t="shared" si="311"/>
        <v>1+1.49062264052692i</v>
      </c>
      <c r="U398" s="4">
        <f t="shared" si="324"/>
        <v>1.7949807398552908</v>
      </c>
      <c r="V398" s="4">
        <f t="shared" si="325"/>
        <v>0.97989584790829853</v>
      </c>
      <c r="W398" t="str">
        <f t="shared" si="312"/>
        <v>1-0.867217294189532i</v>
      </c>
      <c r="X398" s="4">
        <f t="shared" si="326"/>
        <v>1.3236562376015206</v>
      </c>
      <c r="Y398" s="4">
        <f t="shared" si="327"/>
        <v>-0.71440505758448469</v>
      </c>
      <c r="Z398" t="str">
        <f t="shared" si="313"/>
        <v>0.996018928294465+0.580504637743196i</v>
      </c>
      <c r="AA398" s="4">
        <f t="shared" si="328"/>
        <v>1.1528396852824827</v>
      </c>
      <c r="AB398" s="4">
        <f t="shared" si="329"/>
        <v>0.52769501935139618</v>
      </c>
      <c r="AC398" s="47" t="str">
        <f t="shared" si="330"/>
        <v>-0.104969900976505-0.40805758043192i</v>
      </c>
      <c r="AD398" s="20">
        <f t="shared" si="331"/>
        <v>-7.5072905651399466</v>
      </c>
      <c r="AE398" s="43">
        <f t="shared" si="332"/>
        <v>-104.4261476283863</v>
      </c>
      <c r="AF398" t="str">
        <f t="shared" si="314"/>
        <v>72.2956529813786</v>
      </c>
      <c r="AG398" t="str">
        <f t="shared" si="315"/>
        <v>1+78.2576886276633i</v>
      </c>
      <c r="AH398">
        <f t="shared" si="333"/>
        <v>78.264077515449586</v>
      </c>
      <c r="AI398">
        <f t="shared" si="334"/>
        <v>1.5580187250719961</v>
      </c>
      <c r="AJ398" t="str">
        <f t="shared" si="316"/>
        <v>1+1.49062264052692i</v>
      </c>
      <c r="AK398">
        <f t="shared" si="335"/>
        <v>1.7949807398552908</v>
      </c>
      <c r="AL398">
        <f t="shared" si="336"/>
        <v>0.97989584790829853</v>
      </c>
      <c r="AM398" t="str">
        <f t="shared" si="317"/>
        <v>1-0.191926750739378i</v>
      </c>
      <c r="AN398">
        <f t="shared" si="337"/>
        <v>1.0182513823459192</v>
      </c>
      <c r="AO398">
        <f t="shared" si="338"/>
        <v>-0.18962090606104443</v>
      </c>
      <c r="AP398" s="41" t="str">
        <f t="shared" si="339"/>
        <v>1.21473885503813-1.17258770507521i</v>
      </c>
      <c r="AQ398">
        <f t="shared" si="340"/>
        <v>4.5492903062252568</v>
      </c>
      <c r="AR398" s="43">
        <f t="shared" si="341"/>
        <v>-43.988478526184366</v>
      </c>
      <c r="AS398" t="str">
        <f t="shared" si="318"/>
        <v>-0.0000166666666666667</v>
      </c>
      <c r="AT398" t="str">
        <f t="shared" si="319"/>
        <v>0.0013479034515403i</v>
      </c>
      <c r="AU398">
        <f t="shared" si="342"/>
        <v>1.3479034515403001E-3</v>
      </c>
      <c r="AV398">
        <f t="shared" si="343"/>
        <v>1.5707963267948966</v>
      </c>
      <c r="AW398" t="str">
        <f t="shared" si="320"/>
        <v>1+1.34673744509433i</v>
      </c>
      <c r="AX398">
        <f t="shared" si="344"/>
        <v>1.6774092362984065</v>
      </c>
      <c r="AY398">
        <f t="shared" si="345"/>
        <v>0.93208981296162874</v>
      </c>
      <c r="AZ398" t="str">
        <f t="shared" si="321"/>
        <v>1+45.7890731332072i</v>
      </c>
      <c r="BA398">
        <f t="shared" si="346"/>
        <v>45.799991467228431</v>
      </c>
      <c r="BB398">
        <f t="shared" si="347"/>
        <v>1.5489605264068969</v>
      </c>
      <c r="BC398" s="41" t="str">
        <f t="shared" si="348"/>
        <v>-0.195302939350537+0.275386663219811i</v>
      </c>
      <c r="BD398">
        <f t="shared" si="349"/>
        <v>-9.4316733745988142</v>
      </c>
      <c r="BE398" s="43">
        <f t="shared" si="350"/>
        <v>125.34408838563778</v>
      </c>
      <c r="BF398" s="41" t="str">
        <f t="shared" si="351"/>
        <v>0.132874545680742+0.0507875341141885i</v>
      </c>
      <c r="BG398" s="20">
        <f t="shared" si="352"/>
        <v>-16.938963939738777</v>
      </c>
      <c r="BH398" s="43">
        <f t="shared" si="353"/>
        <v>20.917940757251525</v>
      </c>
      <c r="BI398" s="41" t="str">
        <f t="shared" si="357"/>
        <v>0.0856729465009853+0.563532705419893i</v>
      </c>
      <c r="BJ398" s="20">
        <f t="shared" si="354"/>
        <v>-4.8823830683735645</v>
      </c>
      <c r="BK398" s="43">
        <f t="shared" si="358"/>
        <v>81.355609859453395</v>
      </c>
      <c r="BL398">
        <f t="shared" si="355"/>
        <v>-16.938963939738777</v>
      </c>
      <c r="BM398" s="43">
        <f t="shared" si="356"/>
        <v>20.917940757251525</v>
      </c>
    </row>
    <row r="399" spans="14:65" x14ac:dyDescent="0.25">
      <c r="N399" s="9">
        <v>81</v>
      </c>
      <c r="O399" s="34">
        <f t="shared" si="359"/>
        <v>64565.422903465682</v>
      </c>
      <c r="P399" s="33" t="str">
        <f t="shared" si="309"/>
        <v>19.6196196196196</v>
      </c>
      <c r="Q399" s="4" t="str">
        <f t="shared" si="310"/>
        <v>1+98.1968637105628i</v>
      </c>
      <c r="R399" s="4">
        <f t="shared" si="322"/>
        <v>98.201955390872143</v>
      </c>
      <c r="S399" s="4">
        <f t="shared" si="323"/>
        <v>1.5606130541767265</v>
      </c>
      <c r="T399" s="4" t="str">
        <f t="shared" si="311"/>
        <v>1+1.52534370218623i</v>
      </c>
      <c r="U399" s="4">
        <f t="shared" si="324"/>
        <v>1.8239170512386782</v>
      </c>
      <c r="V399" s="4">
        <f t="shared" si="325"/>
        <v>0.99050147276640599</v>
      </c>
      <c r="W399" t="str">
        <f t="shared" si="312"/>
        <v>1-0.887417379928827i</v>
      </c>
      <c r="X399" s="4">
        <f t="shared" si="326"/>
        <v>1.3369777882222815</v>
      </c>
      <c r="Y399" s="4">
        <f t="shared" si="327"/>
        <v>-0.7258197244475546</v>
      </c>
      <c r="Z399" t="str">
        <f t="shared" si="313"/>
        <v>0.995831306165297+0.594026327789092i</v>
      </c>
      <c r="AA399" s="4">
        <f t="shared" si="328"/>
        <v>1.159546147613572</v>
      </c>
      <c r="AB399" s="4">
        <f t="shared" si="329"/>
        <v>0.53785159069980348</v>
      </c>
      <c r="AC399" s="47" t="str">
        <f t="shared" si="330"/>
        <v>-0.109226384033395-0.405711188752164i</v>
      </c>
      <c r="AD399" s="20">
        <f t="shared" si="331"/>
        <v>-7.5317662822099871</v>
      </c>
      <c r="AE399" s="43">
        <f t="shared" si="332"/>
        <v>-105.0680205160303</v>
      </c>
      <c r="AF399" t="str">
        <f t="shared" si="314"/>
        <v>72.2956529813786</v>
      </c>
      <c r="AG399" t="str">
        <f t="shared" si="315"/>
        <v>1+80.0805443647772i</v>
      </c>
      <c r="AH399">
        <f t="shared" si="333"/>
        <v>80.086787835191942</v>
      </c>
      <c r="AI399">
        <f t="shared" si="334"/>
        <v>1.5583095482124267</v>
      </c>
      <c r="AJ399" t="str">
        <f t="shared" si="316"/>
        <v>1+1.52534370218623i</v>
      </c>
      <c r="AK399">
        <f t="shared" si="335"/>
        <v>1.8239170512386782</v>
      </c>
      <c r="AL399">
        <f t="shared" si="336"/>
        <v>0.99050147276640599</v>
      </c>
      <c r="AM399" t="str">
        <f t="shared" si="317"/>
        <v>1-0.196397299062821i</v>
      </c>
      <c r="AN399">
        <f t="shared" si="337"/>
        <v>1.0191034781017927</v>
      </c>
      <c r="AO399">
        <f t="shared" si="338"/>
        <v>-0.19392903650797094</v>
      </c>
      <c r="AP399" s="41" t="str">
        <f t="shared" si="339"/>
        <v>1.21421656070441-1.15807516687535i</v>
      </c>
      <c r="AQ399">
        <f t="shared" si="340"/>
        <v>4.4954935362590218</v>
      </c>
      <c r="AR399" s="43">
        <f t="shared" si="341"/>
        <v>-43.644321613448</v>
      </c>
      <c r="AS399" t="str">
        <f t="shared" si="318"/>
        <v>-0.0000166666666666667</v>
      </c>
      <c r="AT399" t="str">
        <f t="shared" si="319"/>
        <v>0.00137930015623223i</v>
      </c>
      <c r="AU399">
        <f t="shared" si="342"/>
        <v>1.37930015623223E-3</v>
      </c>
      <c r="AV399">
        <f t="shared" si="343"/>
        <v>1.5707963267948966</v>
      </c>
      <c r="AW399" t="str">
        <f t="shared" si="320"/>
        <v>1+1.37810699000712i</v>
      </c>
      <c r="AX399">
        <f t="shared" si="344"/>
        <v>1.7026975291890465</v>
      </c>
      <c r="AY399">
        <f t="shared" si="345"/>
        <v>0.9430733043659657</v>
      </c>
      <c r="AZ399" t="str">
        <f t="shared" si="321"/>
        <v>1+46.855637660242i</v>
      </c>
      <c r="BA399">
        <f t="shared" si="346"/>
        <v>46.866307519879236</v>
      </c>
      <c r="BB399">
        <f t="shared" si="347"/>
        <v>1.5494574172783415</v>
      </c>
      <c r="BC399" s="41" t="str">
        <f t="shared" si="348"/>
        <v>-0.189544779737494+0.273296408465934i</v>
      </c>
      <c r="BD399">
        <f t="shared" si="349"/>
        <v>-9.5617360743920958</v>
      </c>
      <c r="BE399" s="43">
        <f t="shared" si="350"/>
        <v>124.74325043366346</v>
      </c>
      <c r="BF399" s="41" t="str">
        <f t="shared" si="351"/>
        <v>0.131582701663544+0.0470492594430181i</v>
      </c>
      <c r="BG399" s="20">
        <f t="shared" si="352"/>
        <v>-17.093502356602073</v>
      </c>
      <c r="BH399" s="43">
        <f t="shared" si="353"/>
        <v>19.675229917633146</v>
      </c>
      <c r="BI399" s="41" t="str">
        <f t="shared" si="357"/>
        <v>0.0863493732882854+0.551348127565224i</v>
      </c>
      <c r="BJ399" s="20">
        <f t="shared" si="354"/>
        <v>-5.0662425381330722</v>
      </c>
      <c r="BK399" s="43">
        <f t="shared" si="358"/>
        <v>81.098928820215463</v>
      </c>
      <c r="BL399">
        <f t="shared" si="355"/>
        <v>-17.093502356602073</v>
      </c>
      <c r="BM399" s="43">
        <f t="shared" si="356"/>
        <v>19.675229917633146</v>
      </c>
    </row>
    <row r="400" spans="14:65" x14ac:dyDescent="0.25">
      <c r="N400" s="9">
        <v>82</v>
      </c>
      <c r="O400" s="34">
        <f t="shared" si="359"/>
        <v>66069.344800759733</v>
      </c>
      <c r="P400" s="33" t="str">
        <f t="shared" si="309"/>
        <v>19.6196196196196</v>
      </c>
      <c r="Q400" s="4" t="str">
        <f t="shared" si="310"/>
        <v>1+100.484162498967i</v>
      </c>
      <c r="R400" s="4">
        <f t="shared" si="322"/>
        <v>100.48913828428823</v>
      </c>
      <c r="S400" s="4">
        <f t="shared" si="323"/>
        <v>1.5608448382796349</v>
      </c>
      <c r="T400" s="4" t="str">
        <f t="shared" si="311"/>
        <v>1+1.56087352126675i</v>
      </c>
      <c r="U400" s="4">
        <f t="shared" si="324"/>
        <v>1.8537330307764555</v>
      </c>
      <c r="V400" s="4">
        <f t="shared" si="325"/>
        <v>1.0010101660748534</v>
      </c>
      <c r="W400" t="str">
        <f t="shared" si="312"/>
        <v>1-0.908087986109317i</v>
      </c>
      <c r="X400" s="4">
        <f t="shared" si="326"/>
        <v>1.3507863600570134</v>
      </c>
      <c r="Y400" s="4">
        <f t="shared" si="327"/>
        <v>-0.73726567424873513</v>
      </c>
      <c r="Z400" t="str">
        <f t="shared" si="313"/>
        <v>0.995634841677598+0.607862978456848i</v>
      </c>
      <c r="AA400" s="4">
        <f t="shared" si="328"/>
        <v>1.166527384393871</v>
      </c>
      <c r="AB400" s="4">
        <f t="shared" si="329"/>
        <v>0.54812475682265471</v>
      </c>
      <c r="AC400" s="47" t="str">
        <f t="shared" si="330"/>
        <v>-0.113572993719388-0.403410577569185i</v>
      </c>
      <c r="AD400" s="20">
        <f t="shared" si="331"/>
        <v>-7.5537924450686926</v>
      </c>
      <c r="AE400" s="43">
        <f t="shared" si="332"/>
        <v>-105.72361066931599</v>
      </c>
      <c r="AF400" t="str">
        <f t="shared" si="314"/>
        <v>72.2956529813786</v>
      </c>
      <c r="AG400" t="str">
        <f t="shared" si="315"/>
        <v>1+81.9458598665046i</v>
      </c>
      <c r="AH400">
        <f t="shared" si="333"/>
        <v>81.95196122888585</v>
      </c>
      <c r="AI400">
        <f t="shared" si="334"/>
        <v>1.5585937534510954</v>
      </c>
      <c r="AJ400" t="str">
        <f t="shared" si="316"/>
        <v>1+1.56087352126675i</v>
      </c>
      <c r="AK400">
        <f t="shared" si="335"/>
        <v>1.8537330307764555</v>
      </c>
      <c r="AL400">
        <f t="shared" si="336"/>
        <v>1.0010101660748534</v>
      </c>
      <c r="AM400" t="str">
        <f t="shared" si="317"/>
        <v>1-0.200971979833852i</v>
      </c>
      <c r="AN400">
        <f t="shared" si="337"/>
        <v>1.019994968947562</v>
      </c>
      <c r="AO400">
        <f t="shared" si="338"/>
        <v>-0.19832998091072127</v>
      </c>
      <c r="AP400" s="41" t="str">
        <f t="shared" si="339"/>
        <v>1.21371776632283-1.14417606830285i</v>
      </c>
      <c r="AQ400">
        <f t="shared" si="340"/>
        <v>4.4439610293950267</v>
      </c>
      <c r="AR400" s="43">
        <f t="shared" si="341"/>
        <v>-43.310657139517232</v>
      </c>
      <c r="AS400" t="str">
        <f t="shared" si="318"/>
        <v>-0.0000166666666666667</v>
      </c>
      <c r="AT400" t="str">
        <f t="shared" si="319"/>
        <v>0.00141142818412419i</v>
      </c>
      <c r="AU400">
        <f t="shared" si="342"/>
        <v>1.41142818412419E-3</v>
      </c>
      <c r="AV400">
        <f t="shared" si="343"/>
        <v>1.5707963267948966</v>
      </c>
      <c r="AW400" t="str">
        <f t="shared" si="320"/>
        <v>1+1.41020722548741i</v>
      </c>
      <c r="AX400">
        <f t="shared" si="344"/>
        <v>1.7287811946041349</v>
      </c>
      <c r="AY400">
        <f t="shared" si="345"/>
        <v>0.95397864639230745</v>
      </c>
      <c r="AZ400" t="str">
        <f t="shared" si="321"/>
        <v>1+47.9470456665719i</v>
      </c>
      <c r="BA400">
        <f t="shared" si="346"/>
        <v>47.95747270397316</v>
      </c>
      <c r="BB400">
        <f t="shared" si="347"/>
        <v>1.5499430077163503</v>
      </c>
      <c r="BC400" s="41" t="str">
        <f t="shared" si="348"/>
        <v>-0.183868265914414+0.271100727442159i</v>
      </c>
      <c r="BD400">
        <f t="shared" si="349"/>
        <v>-9.6938755444429017</v>
      </c>
      <c r="BE400" s="43">
        <f t="shared" si="350"/>
        <v>124.1462426440773</v>
      </c>
      <c r="BF400" s="41" t="str">
        <f t="shared" si="351"/>
        <v>0.13024737044676+0.0433846821340684i</v>
      </c>
      <c r="BG400" s="20">
        <f t="shared" si="352"/>
        <v>-17.247667989511598</v>
      </c>
      <c r="BH400" s="43">
        <f t="shared" si="353"/>
        <v>18.422631974761316</v>
      </c>
      <c r="BI400" s="41" t="str">
        <f t="shared" si="357"/>
        <v>0.0870227834355174+0.539417438939209i</v>
      </c>
      <c r="BJ400" s="20">
        <f t="shared" si="354"/>
        <v>-5.2499145150478697</v>
      </c>
      <c r="BK400" s="43">
        <f t="shared" si="358"/>
        <v>80.835585504560058</v>
      </c>
      <c r="BL400">
        <f t="shared" si="355"/>
        <v>-17.247667989511598</v>
      </c>
      <c r="BM400" s="43">
        <f t="shared" si="356"/>
        <v>18.422631974761316</v>
      </c>
    </row>
    <row r="401" spans="14:65" x14ac:dyDescent="0.25">
      <c r="N401" s="9">
        <v>83</v>
      </c>
      <c r="O401" s="34">
        <f t="shared" si="359"/>
        <v>67608.297539198305</v>
      </c>
      <c r="P401" s="33" t="str">
        <f t="shared" si="309"/>
        <v>19.6196196196196</v>
      </c>
      <c r="Q401" s="4" t="str">
        <f t="shared" si="310"/>
        <v>1+102.824739320394i</v>
      </c>
      <c r="R401" s="4">
        <f t="shared" si="322"/>
        <v>102.82960184843166</v>
      </c>
      <c r="S401" s="4">
        <f t="shared" si="323"/>
        <v>1.5610713473654769</v>
      </c>
      <c r="T401" s="4" t="str">
        <f t="shared" si="311"/>
        <v>1+1.59723093614885i</v>
      </c>
      <c r="U401" s="4">
        <f t="shared" si="324"/>
        <v>1.884448636442748</v>
      </c>
      <c r="V401" s="4">
        <f t="shared" si="325"/>
        <v>1.0114182154545186</v>
      </c>
      <c r="W401" t="str">
        <f t="shared" si="312"/>
        <v>1-0.929240072560006i</v>
      </c>
      <c r="X401" s="4">
        <f t="shared" si="326"/>
        <v>1.3650960085105095</v>
      </c>
      <c r="Y401" s="4">
        <f t="shared" si="327"/>
        <v>-0.74873698050003479</v>
      </c>
      <c r="Z401" t="str">
        <f t="shared" si="313"/>
        <v>0.995429118103851+0.6220219261218i</v>
      </c>
      <c r="AA401" s="4">
        <f t="shared" si="328"/>
        <v>1.1737931699176327</v>
      </c>
      <c r="AB401" s="4">
        <f t="shared" si="329"/>
        <v>0.55851170277190676</v>
      </c>
      <c r="AC401" s="47" t="str">
        <f t="shared" si="330"/>
        <v>-0.118008510807415-0.401148844195788i</v>
      </c>
      <c r="AD401" s="20">
        <f t="shared" si="331"/>
        <v>-7.5734329567422032</v>
      </c>
      <c r="AE401" s="43">
        <f t="shared" si="332"/>
        <v>-106.3926369801617</v>
      </c>
      <c r="AF401" t="str">
        <f t="shared" si="314"/>
        <v>72.2956529813786</v>
      </c>
      <c r="AG401" t="str">
        <f t="shared" si="315"/>
        <v>1+83.8546241478149i</v>
      </c>
      <c r="AH401">
        <f t="shared" si="333"/>
        <v>83.860586636222052</v>
      </c>
      <c r="AI401">
        <f t="shared" si="334"/>
        <v>1.5588714912936281</v>
      </c>
      <c r="AJ401" t="str">
        <f t="shared" si="316"/>
        <v>1+1.59723093614885i</v>
      </c>
      <c r="AK401">
        <f t="shared" si="335"/>
        <v>1.884448636442748</v>
      </c>
      <c r="AL401">
        <f t="shared" si="336"/>
        <v>1.0114182154545186</v>
      </c>
      <c r="AM401" t="str">
        <f t="shared" si="317"/>
        <v>1-0.20565321860877i</v>
      </c>
      <c r="AN401">
        <f t="shared" si="337"/>
        <v>1.0209276401019547</v>
      </c>
      <c r="AO401">
        <f t="shared" si="338"/>
        <v>-0.20282539047170364</v>
      </c>
      <c r="AP401" s="41" t="str">
        <f t="shared" si="339"/>
        <v>1.21324141485164-1.13088307905019i</v>
      </c>
      <c r="AQ401">
        <f t="shared" si="340"/>
        <v>4.3946710994082476</v>
      </c>
      <c r="AR401" s="43">
        <f t="shared" si="341"/>
        <v>-42.987801038313513</v>
      </c>
      <c r="AS401" t="str">
        <f t="shared" si="318"/>
        <v>-0.0000166666666666667</v>
      </c>
      <c r="AT401" t="str">
        <f t="shared" si="319"/>
        <v>0.00144430456992184i</v>
      </c>
      <c r="AU401">
        <f t="shared" si="342"/>
        <v>1.44430456992184E-3</v>
      </c>
      <c r="AV401">
        <f t="shared" si="343"/>
        <v>1.5707963267948966</v>
      </c>
      <c r="AW401" t="str">
        <f t="shared" si="320"/>
        <v>1+1.44305517150495i</v>
      </c>
      <c r="AX401">
        <f t="shared" si="344"/>
        <v>1.7556788510451393</v>
      </c>
      <c r="AY401">
        <f t="shared" si="345"/>
        <v>0.96480124593579897</v>
      </c>
      <c r="AZ401" t="str">
        <f t="shared" si="321"/>
        <v>1+49.0638758311683i</v>
      </c>
      <c r="BA401">
        <f t="shared" si="346"/>
        <v>49.074065570077856</v>
      </c>
      <c r="BB401">
        <f t="shared" si="347"/>
        <v>1.550417554270866</v>
      </c>
      <c r="BC401" s="41" t="str">
        <f t="shared" si="348"/>
        <v>-0.178277561180974+0.268803935613027i</v>
      </c>
      <c r="BD401">
        <f t="shared" si="349"/>
        <v>-9.8280614914501658</v>
      </c>
      <c r="BE401" s="43">
        <f t="shared" si="350"/>
        <v>123.55334288163121</v>
      </c>
      <c r="BF401" s="41" t="str">
        <f t="shared" si="351"/>
        <v>0.128868657591789+0.039794685472926i</v>
      </c>
      <c r="BG401" s="20">
        <f t="shared" si="352"/>
        <v>-17.401494448192391</v>
      </c>
      <c r="BH401" s="43">
        <f t="shared" si="353"/>
        <v>17.160705901469544</v>
      </c>
      <c r="BI401" s="41" t="str">
        <f t="shared" si="357"/>
        <v>0.0876921018033643+0.527735144474736i</v>
      </c>
      <c r="BJ401" s="20">
        <f t="shared" si="354"/>
        <v>-5.4333903920419271</v>
      </c>
      <c r="BK401" s="43">
        <f t="shared" si="358"/>
        <v>80.565541843317689</v>
      </c>
      <c r="BL401">
        <f t="shared" si="355"/>
        <v>-17.401494448192391</v>
      </c>
      <c r="BM401" s="43">
        <f t="shared" si="356"/>
        <v>17.160705901469544</v>
      </c>
    </row>
    <row r="402" spans="14:65" x14ac:dyDescent="0.25">
      <c r="N402" s="9">
        <v>84</v>
      </c>
      <c r="O402" s="34">
        <f t="shared" si="359"/>
        <v>69183.097091893651</v>
      </c>
      <c r="P402" s="33" t="str">
        <f t="shared" si="309"/>
        <v>19.6196196196196</v>
      </c>
      <c r="Q402" s="4" t="str">
        <f t="shared" si="310"/>
        <v>1+105.219835179654i</v>
      </c>
      <c r="R402" s="4">
        <f t="shared" si="322"/>
        <v>105.22458702809698</v>
      </c>
      <c r="S402" s="4">
        <f t="shared" si="323"/>
        <v>1.5612927014393441</v>
      </c>
      <c r="T402" s="4" t="str">
        <f t="shared" si="311"/>
        <v>1+1.63443522401515i</v>
      </c>
      <c r="U402" s="4">
        <f t="shared" si="324"/>
        <v>1.916084158251264</v>
      </c>
      <c r="V402" s="4">
        <f t="shared" si="325"/>
        <v>1.0217221192729535</v>
      </c>
      <c r="W402" t="str">
        <f t="shared" si="312"/>
        <v>1-0.950884854397111i</v>
      </c>
      <c r="X402" s="4">
        <f t="shared" si="326"/>
        <v>1.3799210145228658</v>
      </c>
      <c r="Y402" s="4">
        <f t="shared" si="327"/>
        <v>-0.76022765029592587</v>
      </c>
      <c r="Z402" t="str">
        <f t="shared" si="313"/>
        <v>0.995213699076774+0.636510678045413i</v>
      </c>
      <c r="AA402" s="4">
        <f t="shared" si="328"/>
        <v>1.1813535246046829</v>
      </c>
      <c r="AB402" s="4">
        <f t="shared" si="329"/>
        <v>0.56900940152096802</v>
      </c>
      <c r="AC402" s="47" t="str">
        <f t="shared" si="330"/>
        <v>-0.12253144330287-0.398919138901261i</v>
      </c>
      <c r="AD402" s="20">
        <f t="shared" si="331"/>
        <v>-7.5907543895071079</v>
      </c>
      <c r="AE402" s="43">
        <f t="shared" si="332"/>
        <v>-107.07479014907139</v>
      </c>
      <c r="AF402" t="str">
        <f t="shared" si="314"/>
        <v>72.2956529813786</v>
      </c>
      <c r="AG402" t="str">
        <f t="shared" si="315"/>
        <v>1+85.8078492607952i</v>
      </c>
      <c r="AH402">
        <f t="shared" si="333"/>
        <v>85.813676035719098</v>
      </c>
      <c r="AI402">
        <f t="shared" si="334"/>
        <v>1.5591429088288131</v>
      </c>
      <c r="AJ402" t="str">
        <f t="shared" si="316"/>
        <v>1+1.63443522401515i</v>
      </c>
      <c r="AK402">
        <f t="shared" si="335"/>
        <v>1.916084158251264</v>
      </c>
      <c r="AL402">
        <f t="shared" si="336"/>
        <v>1.0217221192729535</v>
      </c>
      <c r="AM402" t="str">
        <f t="shared" si="317"/>
        <v>1-0.210443497442336i</v>
      </c>
      <c r="AN402">
        <f t="shared" si="337"/>
        <v>1.0219033543421621</v>
      </c>
      <c r="AO402">
        <f t="shared" si="338"/>
        <v>-0.20741692160121311</v>
      </c>
      <c r="AP402" s="41" t="str">
        <f t="shared" si="339"/>
        <v>1.21278649676834-1.11818918756333i</v>
      </c>
      <c r="AQ402">
        <f t="shared" si="340"/>
        <v>4.3476016638456212</v>
      </c>
      <c r="AR402" s="43">
        <f t="shared" si="341"/>
        <v>-42.676057271484524</v>
      </c>
      <c r="AS402" t="str">
        <f t="shared" si="318"/>
        <v>-0.0000166666666666667</v>
      </c>
      <c r="AT402" t="str">
        <f t="shared" si="319"/>
        <v>0.00147794674512008i</v>
      </c>
      <c r="AU402">
        <f t="shared" si="342"/>
        <v>1.47794674512008E-3</v>
      </c>
      <c r="AV402">
        <f t="shared" si="343"/>
        <v>1.5707963267948966</v>
      </c>
      <c r="AW402" t="str">
        <f t="shared" si="320"/>
        <v>1+1.47666824447552i</v>
      </c>
      <c r="AX402">
        <f t="shared" si="344"/>
        <v>1.7834094045514097</v>
      </c>
      <c r="AY402">
        <f t="shared" si="345"/>
        <v>0.97553670030375594</v>
      </c>
      <c r="AZ402" t="str">
        <f t="shared" si="321"/>
        <v>1+50.2067203121674i</v>
      </c>
      <c r="BA402">
        <f t="shared" si="346"/>
        <v>50.216678150831548</v>
      </c>
      <c r="BB402">
        <f t="shared" si="347"/>
        <v>1.5508813076973404</v>
      </c>
      <c r="BC402" s="41" t="str">
        <f t="shared" si="348"/>
        <v>-0.1727765248838+0.266410513787519i</v>
      </c>
      <c r="BD402">
        <f t="shared" si="349"/>
        <v>-9.9642621535098339</v>
      </c>
      <c r="BE402" s="43">
        <f t="shared" si="350"/>
        <v>122.96481776926363</v>
      </c>
      <c r="BF402" s="41" t="str">
        <f t="shared" si="351"/>
        <v>0.127446809717226+0.0362801977635539i</v>
      </c>
      <c r="BG402" s="20">
        <f t="shared" si="352"/>
        <v>-17.555016543016933</v>
      </c>
      <c r="BH402" s="43">
        <f t="shared" si="353"/>
        <v>15.8900276201922</v>
      </c>
      <c r="BI402" s="41" t="str">
        <f t="shared" si="357"/>
        <v>0.0883563196327635+0.51629591570845i</v>
      </c>
      <c r="BJ402" s="20">
        <f t="shared" si="354"/>
        <v>-5.6166604896642189</v>
      </c>
      <c r="BK402" s="43">
        <f t="shared" si="358"/>
        <v>80.288760497779094</v>
      </c>
      <c r="BL402">
        <f t="shared" si="355"/>
        <v>-17.555016543016933</v>
      </c>
      <c r="BM402" s="43">
        <f t="shared" si="356"/>
        <v>15.8900276201922</v>
      </c>
    </row>
    <row r="403" spans="14:65" x14ac:dyDescent="0.25">
      <c r="N403" s="9">
        <v>85</v>
      </c>
      <c r="O403" s="34">
        <f t="shared" si="359"/>
        <v>70794.578438413781</v>
      </c>
      <c r="P403" s="33" t="str">
        <f t="shared" ref="P403:P466" si="360">COMPLEX(Adc,0)</f>
        <v>19.6196196196196</v>
      </c>
      <c r="Q403" s="4" t="str">
        <f t="shared" ref="Q403:Q466" si="361">IMSUM(COMPLEX(1,0),IMDIV(COMPLEX(0,2*PI()*O403),COMPLEX(wp_lf,0)))</f>
        <v>1+107.670719988276i</v>
      </c>
      <c r="R403" s="4">
        <f t="shared" si="322"/>
        <v>107.67536367616196</v>
      </c>
      <c r="S403" s="4">
        <f t="shared" si="323"/>
        <v>1.5615090177792796</v>
      </c>
      <c r="T403" s="4" t="str">
        <f t="shared" ref="T403:T466" si="362">IMSUM(COMPLEX(1,0),IMDIV(COMPLEX(0,2*PI()*O403),COMPLEX(wz_esr,0)))</f>
        <v>1+1.67250611107152i</v>
      </c>
      <c r="U403" s="4">
        <f t="shared" si="324"/>
        <v>1.9486602298942675</v>
      </c>
      <c r="V403" s="4">
        <f t="shared" si="325"/>
        <v>1.0319185886563194</v>
      </c>
      <c r="W403" t="str">
        <f t="shared" ref="W403:W466" si="363">IMSUB(COMPLEX(1,0),IMDIV(COMPLEX(0,2*PI()*O403),COMPLEX(wz_rhp,0)))</f>
        <v>1-0.973033807970468i</v>
      </c>
      <c r="X403" s="4">
        <f t="shared" si="326"/>
        <v>1.3952758836350285</v>
      </c>
      <c r="Y403" s="4">
        <f t="shared" si="327"/>
        <v>-0.77173163977291548</v>
      </c>
      <c r="Z403" t="str">
        <f t="shared" ref="Z403:Z466" si="364">IMSUM(COMPLEX(1,0),IMDIV(COMPLEX(0,2*PI()*O403),COMPLEX(Q*(wsl/2),0)),IMDIV(IMPOWER(COMPLEX(0,2*PI()*O403),2),IMPOWER(COMPLEX(wsl/2,0),2)))</f>
        <v>0.994988127663727+0.651336916355742i</v>
      </c>
      <c r="AA403" s="4">
        <f t="shared" si="328"/>
        <v>1.1892187152915044</v>
      </c>
      <c r="AB403" s="4">
        <f t="shared" si="329"/>
        <v>0.57961461441331841</v>
      </c>
      <c r="AC403" s="47" t="str">
        <f t="shared" si="330"/>
        <v>-0.127140021879269-0.396714681544688i</v>
      </c>
      <c r="AD403" s="20">
        <f t="shared" si="331"/>
        <v>-7.6058257971297216</v>
      </c>
      <c r="AE403" s="43">
        <f t="shared" si="332"/>
        <v>-107.76973348495189</v>
      </c>
      <c r="AF403" t="str">
        <f t="shared" ref="AF403:AF466" si="365">COMPLEX($B$72,0)</f>
        <v>72.2956529813786</v>
      </c>
      <c r="AG403" t="str">
        <f t="shared" ref="AG403:AG466" si="366">IMSUM(COMPLEX(1,0),IMDIV(COMPLEX(0,2*PI()*O403),COMPLEX(wp_lf_DCM,0)))</f>
        <v>1+87.806570831255i</v>
      </c>
      <c r="AH403">
        <f t="shared" si="333"/>
        <v>87.812264981289502</v>
      </c>
      <c r="AI403">
        <f t="shared" si="334"/>
        <v>1.5594081498057712</v>
      </c>
      <c r="AJ403" t="str">
        <f t="shared" ref="AJ403:AJ466" si="367">IMSUM(COMPLEX(1,0),IMDIV(COMPLEX(0,2*PI()*O403),COMPLEX(wz1_dcm,0)))</f>
        <v>1+1.67250611107152i</v>
      </c>
      <c r="AK403">
        <f t="shared" si="335"/>
        <v>1.9486602298942675</v>
      </c>
      <c r="AL403">
        <f t="shared" si="336"/>
        <v>1.0319185886563194</v>
      </c>
      <c r="AM403" t="str">
        <f t="shared" ref="AM403:AM466" si="368">IMSUB(COMPLEX(1,0),IMDIV(COMPLEX(0,2*PI()*O403),COMPLEX(wz2_dcm,0)))</f>
        <v>1-0.215345356203795i</v>
      </c>
      <c r="AN403">
        <f t="shared" si="337"/>
        <v>1.0229240550688694</v>
      </c>
      <c r="AO403">
        <f t="shared" si="338"/>
        <v>-0.21210623403155418</v>
      </c>
      <c r="AP403" s="41" t="str">
        <f t="shared" si="339"/>
        <v>1.21235204793588-1.10608769749832i</v>
      </c>
      <c r="AQ403">
        <f t="shared" si="340"/>
        <v>4.3027303752038062</v>
      </c>
      <c r="AR403" s="43">
        <f t="shared" si="341"/>
        <v>-42.375717609493719</v>
      </c>
      <c r="AS403" t="str">
        <f t="shared" ref="AS403:AS466" si="369">COMPLEX(Adc_ea,0)</f>
        <v>-0.0000166666666666667</v>
      </c>
      <c r="AT403" t="str">
        <f t="shared" ref="AT403:AT466" si="370">COMPLEX(0,2*PI()*O403*wp0_ea)</f>
        <v>0.00151237254724553i</v>
      </c>
      <c r="AU403">
        <f t="shared" si="342"/>
        <v>1.51237254724553E-3</v>
      </c>
      <c r="AV403">
        <f t="shared" si="343"/>
        <v>1.5707963267948966</v>
      </c>
      <c r="AW403" t="str">
        <f t="shared" ref="AW403:AW466" si="371">IMSUM(COMPLEX(1,0),IMDIV(COMPLEX(0,2*PI()*O403),COMPLEX(wp1_ea,0)))</f>
        <v>1+1.51106426649532i</v>
      </c>
      <c r="AX403">
        <f t="shared" si="344"/>
        <v>1.8119920577858613</v>
      </c>
      <c r="AY403">
        <f t="shared" si="345"/>
        <v>0.9861808035077646</v>
      </c>
      <c r="AZ403" t="str">
        <f t="shared" ref="AZ403:AZ466" si="372">IMSUM(COMPLEX(1,0),IMDIV(COMPLEX(0,2*PI()*O403),COMPLEX(wz_ea,0)))</f>
        <v>1+51.3761850608407i</v>
      </c>
      <c r="BA403">
        <f t="shared" si="346"/>
        <v>51.385916274848611</v>
      </c>
      <c r="BB403">
        <f t="shared" si="347"/>
        <v>1.5513345130856164</v>
      </c>
      <c r="BC403" s="41" t="str">
        <f t="shared" si="348"/>
        <v>-0.167368706643774+0.263925084317846i</v>
      </c>
      <c r="BD403">
        <f t="shared" si="349"/>
        <v>-10.102444412233238</v>
      </c>
      <c r="BE403" s="43">
        <f t="shared" si="350"/>
        <v>122.38092233497322</v>
      </c>
      <c r="BF403" s="41" t="str">
        <f t="shared" si="351"/>
        <v>0.125982216801404+0.0328421821620722i</v>
      </c>
      <c r="BG403" s="20">
        <f t="shared" si="352"/>
        <v>-17.708270209362936</v>
      </c>
      <c r="BH403" s="43">
        <f t="shared" si="353"/>
        <v>14.611188850021286</v>
      </c>
      <c r="BI403" s="41" t="str">
        <f t="shared" si="357"/>
        <v>0.0890144945652173+0.505094583839274i</v>
      </c>
      <c r="BJ403" s="20">
        <f t="shared" si="354"/>
        <v>-5.7997140370294353</v>
      </c>
      <c r="BK403" s="43">
        <f t="shared" si="358"/>
        <v>80.005204725479516</v>
      </c>
      <c r="BL403">
        <f t="shared" si="355"/>
        <v>-17.708270209362936</v>
      </c>
      <c r="BM403" s="43">
        <f t="shared" si="356"/>
        <v>14.611188850021286</v>
      </c>
    </row>
    <row r="404" spans="14:65" x14ac:dyDescent="0.25">
      <c r="N404" s="9">
        <v>86</v>
      </c>
      <c r="O404" s="34">
        <f t="shared" si="359"/>
        <v>72443.596007499116</v>
      </c>
      <c r="P404" s="33" t="str">
        <f t="shared" si="360"/>
        <v>19.6196196196196</v>
      </c>
      <c r="Q404" s="4" t="str">
        <f t="shared" si="361"/>
        <v>1+110.178693237826i</v>
      </c>
      <c r="R404" s="4">
        <f t="shared" ref="R404:R467" si="373">IMABS(Q404)</f>
        <v>110.18323122687482</v>
      </c>
      <c r="S404" s="4">
        <f t="shared" ref="S404:S467" si="374">IMARGUMENT(Q404)</f>
        <v>1.5617204109980476</v>
      </c>
      <c r="T404" s="4" t="str">
        <f t="shared" si="362"/>
        <v>1+1.71146378300623i</v>
      </c>
      <c r="U404" s="4">
        <f t="shared" ref="U404:U467" si="375">IMABS(T404)</f>
        <v>1.9821978409185081</v>
      </c>
      <c r="V404" s="4">
        <f t="shared" ref="V404:V467" si="376">IMARGUMENT(T404)</f>
        <v>1.0420045485943126</v>
      </c>
      <c r="W404" t="str">
        <f t="shared" si="363"/>
        <v>1-0.995698676948439i</v>
      </c>
      <c r="X404" s="4">
        <f t="shared" ref="X404:X467" si="377">IMABS(W404)</f>
        <v>1.411175345333411</v>
      </c>
      <c r="Y404" s="4">
        <f t="shared" ref="Y404:Y467" si="378">IMARGUMENT(W404)</f>
        <v>-0.78324286989500524</v>
      </c>
      <c r="Z404" t="str">
        <f t="shared" si="364"/>
        <v>0.994751925397502+0.666508502120587i</v>
      </c>
      <c r="AA404" s="4">
        <f t="shared" ref="AA404:AA467" si="379">IMABS(Z404)</f>
        <v>1.1973992552532617</v>
      </c>
      <c r="AB404" s="4">
        <f t="shared" ref="AB404:AB467" si="380">IMARGUMENT(Z404)</f>
        <v>0.59032389248997552</v>
      </c>
      <c r="AC404" s="47" t="str">
        <f t="shared" ref="AC404:AC467" si="381">(IMDIV(IMPRODUCT(P404,T404,W404),IMPRODUCT(Q404,Z404)))</f>
        <v>-0.131832196657787-0.394528779034907i</v>
      </c>
      <c r="AD404" s="20">
        <f t="shared" ref="AD404:AD467" si="382">20*LOG(IMABS(AC404))</f>
        <v>-7.6187185167709899</v>
      </c>
      <c r="AE404" s="43">
        <f t="shared" ref="AE404:AE467" si="383">(180/PI())*IMARGUMENT(AC404)</f>
        <v>-108.47710382584398</v>
      </c>
      <c r="AF404" t="str">
        <f t="shared" si="365"/>
        <v>72.2956529813786</v>
      </c>
      <c r="AG404" t="str">
        <f t="shared" si="366"/>
        <v>1+89.8518486078271i</v>
      </c>
      <c r="AH404">
        <f t="shared" ref="AH404:AH467" si="384">IMABS(AG404)</f>
        <v>89.857413151302552</v>
      </c>
      <c r="AI404">
        <f t="shared" ref="AI404:AI467" si="385">IMARGUMENT(AG404)</f>
        <v>1.55966735470941</v>
      </c>
      <c r="AJ404" t="str">
        <f t="shared" si="367"/>
        <v>1+1.71146378300623i</v>
      </c>
      <c r="AK404">
        <f t="shared" ref="AK404:AK467" si="386">IMABS(AJ404)</f>
        <v>1.9821978409185081</v>
      </c>
      <c r="AL404">
        <f t="shared" ref="AL404:AL467" si="387">IMARGUMENT(AJ404)</f>
        <v>1.0420045485943126</v>
      </c>
      <c r="AM404" t="str">
        <f t="shared" si="368"/>
        <v>1-0.220361393923546i</v>
      </c>
      <c r="AN404">
        <f t="shared" ref="AN404:AN467" si="388">IMABS(AM404)</f>
        <v>1.0239917694649348</v>
      </c>
      <c r="AO404">
        <f t="shared" ref="AO404:AO467" si="389">IMARGUMENT(AM404)</f>
        <v>-0.21689498878434427</v>
      </c>
      <c r="AP404" s="41" t="str">
        <f t="shared" ref="AP404:AP467" si="390">(IMDIV(IMPRODUCT(AF404,AJ404,AM404),IMPRODUCT(AG404)))</f>
        <v>1.21193714756441-1.09457222433359i</v>
      </c>
      <c r="AQ404">
        <f t="shared" ref="AQ404:AQ467" si="391">20*LOG(IMABS(AP404))</f>
        <v>4.2600347508101573</v>
      </c>
      <c r="AR404" s="43">
        <f t="shared" ref="AR404:AR467" si="392">(180/PI())*IMARGUMENT(AP404)</f>
        <v>-42.087061456174411</v>
      </c>
      <c r="AS404" t="str">
        <f t="shared" si="369"/>
        <v>-0.0000166666666666667</v>
      </c>
      <c r="AT404" t="str">
        <f t="shared" si="370"/>
        <v>0.00154760022931415i</v>
      </c>
      <c r="AU404">
        <f t="shared" ref="AU404:AU467" si="393">IMABS(AT404)</f>
        <v>1.54760022931415E-3</v>
      </c>
      <c r="AV404">
        <f t="shared" ref="AV404:AV467" si="394">IMARGUMENT(AT404)</f>
        <v>1.5707963267948966</v>
      </c>
      <c r="AW404" t="str">
        <f t="shared" si="371"/>
        <v>1+1.54626147479052i</v>
      </c>
      <c r="AX404">
        <f t="shared" ref="AX404:AX467" si="395">IMABS(AW404)</f>
        <v>1.8414463197229924</v>
      </c>
      <c r="AY404">
        <f t="shared" ref="AY404:AY467" si="396">IMARGUMENT(AW404)</f>
        <v>0.99672955156244103</v>
      </c>
      <c r="AZ404" t="str">
        <f t="shared" si="372"/>
        <v>1+52.5728901428776i</v>
      </c>
      <c r="BA404">
        <f t="shared" ref="BA404:BA467" si="397">IMABS(AZ404)</f>
        <v>52.582399887938514</v>
      </c>
      <c r="BB404">
        <f t="shared" ref="BB404:BB467" si="398">IMARGUMENT(AZ404)</f>
        <v>1.5517774099860733</v>
      </c>
      <c r="BC404" s="41" t="str">
        <f t="shared" ref="BC404:BC467" si="399">IMPRODUCT(AS404,IMDIV(AZ404,IMPRODUCT(AT404,AW404)))</f>
        <v>-0.162057342652794+0.261352387370442i</v>
      </c>
      <c r="BD404">
        <f t="shared" ref="BD404:BD467" si="400">20*LOG(IMABS(BC404))</f>
        <v>-10.242573906570664</v>
      </c>
      <c r="BE404" s="43">
        <f t="shared" ref="BE404:BE467" si="401">(180/PI())*IMARGUMENT(BC404)</f>
        <v>121.80189971544904</v>
      </c>
      <c r="BF404" s="41" t="str">
        <f t="shared" ref="BF404:BF467" si="402">IMPRODUCT(AC404,BC404)</f>
        <v>0.12447541375356+0.0294816262016461i</v>
      </c>
      <c r="BG404" s="20">
        <f t="shared" ref="BG404:BG467" si="403">20*LOG(IMABS(BF404))</f>
        <v>-17.861292423341656</v>
      </c>
      <c r="BH404" s="43">
        <f t="shared" ref="BH404:BH467" si="404">(180/PI())*IMARGUMENT(BF404)</f>
        <v>13.32479588960506</v>
      </c>
      <c r="BI404" s="41" t="str">
        <f t="shared" si="357"/>
        <v>0.0896657503824634+0.494126132875942i</v>
      </c>
      <c r="BJ404" s="20">
        <f t="shared" ref="BJ404:BJ467" si="405">20*LOG(IMABS(BI404))</f>
        <v>-5.9825391557605023</v>
      </c>
      <c r="BK404" s="43">
        <f t="shared" si="358"/>
        <v>79.714838259274643</v>
      </c>
      <c r="BL404">
        <f t="shared" ref="BL404:BL467" si="406">IF($B$31=0,BJ404,BG404)</f>
        <v>-17.861292423341656</v>
      </c>
      <c r="BM404" s="43">
        <f t="shared" ref="BM404:BM467" si="407">IF($B$31=0,BK404,BH404)</f>
        <v>13.32479588960506</v>
      </c>
    </row>
    <row r="405" spans="14:65" x14ac:dyDescent="0.25">
      <c r="N405" s="9">
        <v>87</v>
      </c>
      <c r="O405" s="34">
        <f t="shared" si="359"/>
        <v>74131.024130091857</v>
      </c>
      <c r="P405" s="33" t="str">
        <f t="shared" si="360"/>
        <v>19.6196196196196</v>
      </c>
      <c r="Q405" s="4" t="str">
        <f t="shared" si="361"/>
        <v>1+112.745084688918i</v>
      </c>
      <c r="R405" s="4">
        <f t="shared" si="373"/>
        <v>112.74951938483503</v>
      </c>
      <c r="S405" s="4">
        <f t="shared" si="374"/>
        <v>1.5619269931035149</v>
      </c>
      <c r="T405" s="4" t="str">
        <f t="shared" si="362"/>
        <v>1+1.75132889569259i</v>
      </c>
      <c r="U405" s="4">
        <f t="shared" si="375"/>
        <v>2.0167183494201235</v>
      </c>
      <c r="V405" s="4">
        <f t="shared" si="376"/>
        <v>1.0519771381748713</v>
      </c>
      <c r="W405" t="str">
        <f t="shared" si="363"/>
        <v>1-1.01889147854456i</v>
      </c>
      <c r="X405" s="4">
        <f t="shared" si="377"/>
        <v>1.4276343527145596</v>
      </c>
      <c r="Y405" s="4">
        <f t="shared" si="378"/>
        <v>-0.79475524246521878</v>
      </c>
      <c r="Z405" t="str">
        <f t="shared" si="364"/>
        <v>0.994504591261424+0.68203347951554i</v>
      </c>
      <c r="AA405" s="4">
        <f t="shared" si="379"/>
        <v>1.2059059039660294</v>
      </c>
      <c r="AB405" s="4">
        <f t="shared" si="380"/>
        <v>0.60113357873167761</v>
      </c>
      <c r="AC405" s="47" t="str">
        <f t="shared" si="381"/>
        <v>-0.136605635441609-0.392354843504497i</v>
      </c>
      <c r="AD405" s="20">
        <f t="shared" si="382"/>
        <v>-7.6295059614881673</v>
      </c>
      <c r="AE405" s="43">
        <f t="shared" si="383"/>
        <v>-109.19651257479353</v>
      </c>
      <c r="AF405" t="str">
        <f t="shared" si="365"/>
        <v>72.2956529813786</v>
      </c>
      <c r="AG405" t="str">
        <f t="shared" si="366"/>
        <v>1+91.9447670238608i</v>
      </c>
      <c r="AH405">
        <f t="shared" si="384"/>
        <v>91.950204910440746</v>
      </c>
      <c r="AI405">
        <f t="shared" si="385"/>
        <v>1.5599206608341982</v>
      </c>
      <c r="AJ405" t="str">
        <f t="shared" si="367"/>
        <v>1+1.75132889569259i</v>
      </c>
      <c r="AK405">
        <f t="shared" si="386"/>
        <v>2.0167183494201235</v>
      </c>
      <c r="AL405">
        <f t="shared" si="387"/>
        <v>1.0519771381748713</v>
      </c>
      <c r="AM405" t="str">
        <f t="shared" si="368"/>
        <v>1-0.225494270171184i</v>
      </c>
      <c r="AN405">
        <f t="shared" si="388"/>
        <v>1.0251086117480601</v>
      </c>
      <c r="AO405">
        <f t="shared" si="389"/>
        <v>-0.22178484598445267</v>
      </c>
      <c r="AP405" s="41" t="str">
        <f t="shared" si="390"/>
        <v>1.21154091626438-1.08363669213662i</v>
      </c>
      <c r="AQ405">
        <f t="shared" si="391"/>
        <v>4.2194923007674987</v>
      </c>
      <c r="AR405" s="43">
        <f t="shared" si="392"/>
        <v>-41.810355714255323</v>
      </c>
      <c r="AS405" t="str">
        <f t="shared" si="369"/>
        <v>-0.0000166666666666667</v>
      </c>
      <c r="AT405" t="str">
        <f t="shared" si="370"/>
        <v>0.00158364846950925i</v>
      </c>
      <c r="AU405">
        <f t="shared" si="393"/>
        <v>1.5836484695092501E-3</v>
      </c>
      <c r="AV405">
        <f t="shared" si="394"/>
        <v>1.5707963267948966</v>
      </c>
      <c r="AW405" t="str">
        <f t="shared" si="371"/>
        <v>1+1.58227853138684i</v>
      </c>
      <c r="AX405">
        <f t="shared" si="395"/>
        <v>1.8717920159269019</v>
      </c>
      <c r="AY405">
        <f t="shared" si="396"/>
        <v>1.0071791467978606</v>
      </c>
      <c r="AZ405" t="str">
        <f t="shared" si="372"/>
        <v>1+53.7974700671526i</v>
      </c>
      <c r="BA405">
        <f t="shared" si="397"/>
        <v>53.806763381810839</v>
      </c>
      <c r="BB405">
        <f t="shared" si="398"/>
        <v>1.55221023253309</v>
      </c>
      <c r="BC405" s="41" t="str">
        <f t="shared" si="399"/>
        <v>-0.156845353976315+0.258697257462726i</v>
      </c>
      <c r="BD405">
        <f t="shared" si="400"/>
        <v>-10.384615147599634</v>
      </c>
      <c r="BE405" s="43">
        <f t="shared" si="401"/>
        <v>121.22798091606157</v>
      </c>
      <c r="BF405" s="41" t="str">
        <f t="shared" si="402"/>
        <v>0.122927081212829+0.0261995310710873i</v>
      </c>
      <c r="BG405" s="20">
        <f t="shared" si="403"/>
        <v>-18.014121109087803</v>
      </c>
      <c r="BH405" s="43">
        <f t="shared" si="404"/>
        <v>12.031468341268027</v>
      </c>
      <c r="BI405" s="41" t="str">
        <f t="shared" si="357"/>
        <v>0.0903092764734482+0.483385692901365i</v>
      </c>
      <c r="BJ405" s="20">
        <f t="shared" si="405"/>
        <v>-6.1651228468321264</v>
      </c>
      <c r="BK405" s="43">
        <f t="shared" si="358"/>
        <v>79.417625201806246</v>
      </c>
      <c r="BL405">
        <f t="shared" si="406"/>
        <v>-18.014121109087803</v>
      </c>
      <c r="BM405" s="43">
        <f t="shared" si="407"/>
        <v>12.031468341268027</v>
      </c>
    </row>
    <row r="406" spans="14:65" x14ac:dyDescent="0.25">
      <c r="N406" s="9">
        <v>88</v>
      </c>
      <c r="O406" s="34">
        <f t="shared" si="359"/>
        <v>75857.757502918481</v>
      </c>
      <c r="P406" s="33" t="str">
        <f t="shared" si="360"/>
        <v>19.6196196196196</v>
      </c>
      <c r="Q406" s="4" t="str">
        <f t="shared" si="361"/>
        <v>1+115.37125507627i</v>
      </c>
      <c r="R406" s="4">
        <f t="shared" si="373"/>
        <v>115.37558883001968</v>
      </c>
      <c r="S406" s="4">
        <f t="shared" si="374"/>
        <v>1.5621288735576786</v>
      </c>
      <c r="T406" s="4" t="str">
        <f t="shared" si="362"/>
        <v>1+1.79212258614101i</v>
      </c>
      <c r="U406" s="4">
        <f t="shared" si="375"/>
        <v>2.0522434952404507</v>
      </c>
      <c r="V406" s="4">
        <f t="shared" si="376"/>
        <v>1.0618337099904251</v>
      </c>
      <c r="W406" t="str">
        <f t="shared" si="363"/>
        <v>1-1.04262450988922i</v>
      </c>
      <c r="X406" s="4">
        <f t="shared" si="377"/>
        <v>1.4446680825095208</v>
      </c>
      <c r="Y406" s="4">
        <f t="shared" si="378"/>
        <v>-0.80626265626066451</v>
      </c>
      <c r="Z406" t="str">
        <f t="shared" si="364"/>
        <v>0.994245600626628+0.69792008008911i</v>
      </c>
      <c r="AA406" s="4">
        <f t="shared" si="379"/>
        <v>1.2147496666214788</v>
      </c>
      <c r="AB406" s="4">
        <f t="shared" si="380"/>
        <v>0.61203981124585138</v>
      </c>
      <c r="AC406" s="47" t="str">
        <f t="shared" si="381"/>
        <v>-0.141457723506521-0.390186411070269i</v>
      </c>
      <c r="AD406" s="20">
        <f t="shared" si="382"/>
        <v>-7.6382634043439834</v>
      </c>
      <c r="AE406" s="43">
        <f t="shared" si="383"/>
        <v>-109.92754684432481</v>
      </c>
      <c r="AF406" t="str">
        <f t="shared" si="365"/>
        <v>72.2956529813786</v>
      </c>
      <c r="AG406" t="str">
        <f t="shared" si="366"/>
        <v>1+94.0864357724031i</v>
      </c>
      <c r="AH406">
        <f t="shared" si="384"/>
        <v>94.091749884644685</v>
      </c>
      <c r="AI406">
        <f t="shared" si="385"/>
        <v>1.5601682023562968</v>
      </c>
      <c r="AJ406" t="str">
        <f t="shared" si="367"/>
        <v>1+1.79212258614101i</v>
      </c>
      <c r="AK406">
        <f t="shared" si="386"/>
        <v>2.0522434952404507</v>
      </c>
      <c r="AL406">
        <f t="shared" si="387"/>
        <v>1.0618337099904251</v>
      </c>
      <c r="AM406" t="str">
        <f t="shared" si="368"/>
        <v>1-0.230746706465635i</v>
      </c>
      <c r="AN406">
        <f t="shared" si="388"/>
        <v>1.0262767865175253</v>
      </c>
      <c r="AO406">
        <f t="shared" si="389"/>
        <v>-0.22677746251403652</v>
      </c>
      <c r="AP406" s="41" t="str">
        <f t="shared" si="390"/>
        <v>1.21116251418692-1.07327533048411i</v>
      </c>
      <c r="AQ406">
        <f t="shared" si="391"/>
        <v>4.1810806533665081</v>
      </c>
      <c r="AR406" s="43">
        <f t="shared" si="392"/>
        <v>-41.545854689099144</v>
      </c>
      <c r="AS406" t="str">
        <f t="shared" si="369"/>
        <v>-0.0000166666666666667</v>
      </c>
      <c r="AT406" t="str">
        <f t="shared" si="370"/>
        <v>0.00162053638108496i</v>
      </c>
      <c r="AU406">
        <f t="shared" si="393"/>
        <v>1.6205363810849599E-3</v>
      </c>
      <c r="AV406">
        <f t="shared" si="394"/>
        <v>1.5707963267948966</v>
      </c>
      <c r="AW406" t="str">
        <f t="shared" si="371"/>
        <v>1+1.61913453300444i</v>
      </c>
      <c r="AX406">
        <f t="shared" si="395"/>
        <v>1.903049299405432</v>
      </c>
      <c r="AY406">
        <f t="shared" si="396"/>
        <v>1.0175260012006002</v>
      </c>
      <c r="AZ406" t="str">
        <f t="shared" si="372"/>
        <v>1+55.0505741221508i</v>
      </c>
      <c r="BA406">
        <f t="shared" si="397"/>
        <v>55.059655930439838</v>
      </c>
      <c r="BB406">
        <f t="shared" si="398"/>
        <v>1.5526332095658748</v>
      </c>
      <c r="BC406" s="41" t="str">
        <f t="shared" si="399"/>
        <v>-0.151735346779303+0.255964600446081i</v>
      </c>
      <c r="BD406">
        <f t="shared" si="400"/>
        <v>-10.528531633562732</v>
      </c>
      <c r="BE406" s="43">
        <f t="shared" si="401"/>
        <v>120.65938462635766</v>
      </c>
      <c r="BF406" s="41" t="str">
        <f t="shared" si="402"/>
        <v>0.121338045539964+0.0229969007149601i</v>
      </c>
      <c r="BG406" s="20">
        <f t="shared" si="403"/>
        <v>-18.166795037906745</v>
      </c>
      <c r="BH406" s="43">
        <f t="shared" si="404"/>
        <v>10.731837782032891</v>
      </c>
      <c r="BI406" s="41" t="str">
        <f t="shared" si="357"/>
        <v>0.090944327039756+0.472868533479803i</v>
      </c>
      <c r="BJ406" s="20">
        <f t="shared" si="405"/>
        <v>-6.3474509801962302</v>
      </c>
      <c r="BK406" s="43">
        <f t="shared" si="358"/>
        <v>79.113529937258505</v>
      </c>
      <c r="BL406">
        <f t="shared" si="406"/>
        <v>-18.166795037906745</v>
      </c>
      <c r="BM406" s="43">
        <f t="shared" si="407"/>
        <v>10.731837782032891</v>
      </c>
    </row>
    <row r="407" spans="14:65" x14ac:dyDescent="0.25">
      <c r="N407" s="9">
        <v>89</v>
      </c>
      <c r="O407" s="34">
        <f t="shared" si="359"/>
        <v>77624.711662869129</v>
      </c>
      <c r="P407" s="33" t="str">
        <f t="shared" si="360"/>
        <v>19.6196196196196</v>
      </c>
      <c r="Q407" s="4" t="str">
        <f t="shared" si="361"/>
        <v>1+118.058596830183i</v>
      </c>
      <c r="R407" s="4">
        <f t="shared" si="373"/>
        <v>118.0628319392335</v>
      </c>
      <c r="S407" s="4">
        <f t="shared" si="374"/>
        <v>1.562326159334368</v>
      </c>
      <c r="T407" s="4" t="str">
        <f t="shared" si="362"/>
        <v>1+1.83386648370616i</v>
      </c>
      <c r="U407" s="4">
        <f t="shared" si="375"/>
        <v>2.0887954136441405</v>
      </c>
      <c r="V407" s="4">
        <f t="shared" si="376"/>
        <v>1.0715718287614526</v>
      </c>
      <c r="W407" t="str">
        <f t="shared" si="363"/>
        <v>1-1.06691035454979i</v>
      </c>
      <c r="X407" s="4">
        <f t="shared" si="377"/>
        <v>1.4622919355058888</v>
      </c>
      <c r="Y407" s="4">
        <f t="shared" si="378"/>
        <v>-0.81775902318714977</v>
      </c>
      <c r="Z407" t="str">
        <f t="shared" si="364"/>
        <v>0.993974404139256+0.714176727127208i</v>
      </c>
      <c r="AA407" s="4">
        <f t="shared" si="379"/>
        <v>1.2239417934093597</v>
      </c>
      <c r="AB407" s="4">
        <f t="shared" si="380"/>
        <v>0.62303852742202614</v>
      </c>
      <c r="AC407" s="47" t="str">
        <f t="shared" si="381"/>
        <v>-0.146385565037356-0.388017161038156i</v>
      </c>
      <c r="AD407" s="20">
        <f t="shared" si="382"/>
        <v>-7.6450677552188839</v>
      </c>
      <c r="AE407" s="43">
        <f t="shared" si="383"/>
        <v>-110.66977070228843</v>
      </c>
      <c r="AF407" t="str">
        <f t="shared" si="365"/>
        <v>72.2956529813786</v>
      </c>
      <c r="AG407" t="str">
        <f t="shared" si="366"/>
        <v>1+96.2779903945733i</v>
      </c>
      <c r="AH407">
        <f t="shared" si="384"/>
        <v>96.283183549452431</v>
      </c>
      <c r="AI407">
        <f t="shared" si="385"/>
        <v>1.5604101104040791</v>
      </c>
      <c r="AJ407" t="str">
        <f t="shared" si="367"/>
        <v>1+1.83386648370616i</v>
      </c>
      <c r="AK407">
        <f t="shared" si="386"/>
        <v>2.0887954136441405</v>
      </c>
      <c r="AL407">
        <f t="shared" si="387"/>
        <v>1.0715718287614526</v>
      </c>
      <c r="AM407" t="str">
        <f t="shared" si="368"/>
        <v>1-0.236121487718148i</v>
      </c>
      <c r="AN407">
        <f t="shared" si="388"/>
        <v>1.0274985921947686</v>
      </c>
      <c r="AO407">
        <f t="shared" si="389"/>
        <v>-0.23187448950022818</v>
      </c>
      <c r="AP407" s="41" t="str">
        <f t="shared" si="390"/>
        <v>1.21080113924759-1.06348267153474i</v>
      </c>
      <c r="AQ407">
        <f t="shared" si="391"/>
        <v>4.1447776774134981</v>
      </c>
      <c r="AR407" s="43">
        <f t="shared" si="392"/>
        <v>-41.293800027663764</v>
      </c>
      <c r="AS407" t="str">
        <f t="shared" si="369"/>
        <v>-0.0000166666666666667</v>
      </c>
      <c r="AT407" t="str">
        <f t="shared" si="370"/>
        <v>0.00165828352250025i</v>
      </c>
      <c r="AU407">
        <f t="shared" si="393"/>
        <v>1.6582835225002501E-3</v>
      </c>
      <c r="AV407">
        <f t="shared" si="394"/>
        <v>1.5707963267948966</v>
      </c>
      <c r="AW407" t="str">
        <f t="shared" si="371"/>
        <v>1+1.65684902118321i</v>
      </c>
      <c r="AX407">
        <f t="shared" si="395"/>
        <v>1.9352386620248576</v>
      </c>
      <c r="AY407">
        <f t="shared" si="396"/>
        <v>1.0277667388054965</v>
      </c>
      <c r="AZ407" t="str">
        <f t="shared" si="372"/>
        <v>1+56.332866720229i</v>
      </c>
      <c r="BA407">
        <f t="shared" si="397"/>
        <v>56.341741834266045</v>
      </c>
      <c r="BB407">
        <f t="shared" si="398"/>
        <v>1.5530465647467044</v>
      </c>
      <c r="BC407" s="41" t="str">
        <f t="shared" si="399"/>
        <v>-0.146729614376922+0.253159371100557i</v>
      </c>
      <c r="BD407">
        <f t="shared" si="400"/>
        <v>-10.674285964472325</v>
      </c>
      <c r="BE407" s="43">
        <f t="shared" si="401"/>
        <v>120.09631708979762</v>
      </c>
      <c r="BF407" s="41" t="str">
        <f t="shared" si="402"/>
        <v>0.119709277972922+0.0198747308276999i</v>
      </c>
      <c r="BG407" s="20">
        <f t="shared" si="403"/>
        <v>-18.319353719691222</v>
      </c>
      <c r="BH407" s="43">
        <f t="shared" si="404"/>
        <v>9.4265463875091537</v>
      </c>
      <c r="BI407" s="41" t="str">
        <f t="shared" si="357"/>
        <v>0.0915702200531383+0.462570057230589i</v>
      </c>
      <c r="BJ407" s="20">
        <f t="shared" si="405"/>
        <v>-6.5295082870588272</v>
      </c>
      <c r="BK407" s="43">
        <f t="shared" si="358"/>
        <v>78.802517062133845</v>
      </c>
      <c r="BL407">
        <f t="shared" si="406"/>
        <v>-18.319353719691222</v>
      </c>
      <c r="BM407" s="43">
        <f t="shared" si="407"/>
        <v>9.4265463875091537</v>
      </c>
    </row>
    <row r="408" spans="14:65" x14ac:dyDescent="0.25">
      <c r="N408" s="9">
        <v>90</v>
      </c>
      <c r="O408" s="34">
        <f t="shared" si="359"/>
        <v>79432.823472428237</v>
      </c>
      <c r="P408" s="33" t="str">
        <f t="shared" si="360"/>
        <v>19.6196196196196</v>
      </c>
      <c r="Q408" s="4" t="str">
        <f t="shared" si="361"/>
        <v>1+120.808534814825i</v>
      </c>
      <c r="R408" s="4">
        <f t="shared" si="373"/>
        <v>120.81267352436491</v>
      </c>
      <c r="S408" s="4">
        <f t="shared" si="374"/>
        <v>1.5625189549756482</v>
      </c>
      <c r="T408" s="4" t="str">
        <f t="shared" si="362"/>
        <v>1+1.87658272155506i</v>
      </c>
      <c r="U408" s="4">
        <f t="shared" si="375"/>
        <v>2.1263966494610065</v>
      </c>
      <c r="V408" s="4">
        <f t="shared" si="376"/>
        <v>1.0811892692264469</v>
      </c>
      <c r="W408" t="str">
        <f t="shared" si="363"/>
        <v>1-1.09176188920258i</v>
      </c>
      <c r="X408" s="4">
        <f t="shared" si="377"/>
        <v>1.4805215374033525</v>
      </c>
      <c r="Y408" s="4">
        <f t="shared" si="378"/>
        <v>-0.82923828434906721</v>
      </c>
      <c r="Z408" t="str">
        <f t="shared" si="364"/>
        <v>0.993690426555198+0.730812040119278i</v>
      </c>
      <c r="AA408" s="4">
        <f t="shared" si="379"/>
        <v>1.2334937785861559</v>
      </c>
      <c r="AB408" s="4">
        <f t="shared" si="380"/>
        <v>0.63412546907219958</v>
      </c>
      <c r="AC408" s="47" t="str">
        <f t="shared" si="381"/>
        <v>-0.151385986286096-0.385840935397157i</v>
      </c>
      <c r="AD408" s="20">
        <f t="shared" si="382"/>
        <v>-7.6499973314953778</v>
      </c>
      <c r="AE408" s="43">
        <f t="shared" si="383"/>
        <v>-111.422726511249</v>
      </c>
      <c r="AF408" t="str">
        <f t="shared" si="365"/>
        <v>72.2956529813786</v>
      </c>
      <c r="AG408" t="str">
        <f t="shared" si="366"/>
        <v>1+98.5205928816408i</v>
      </c>
      <c r="AH408">
        <f t="shared" si="384"/>
        <v>98.525667832042686</v>
      </c>
      <c r="AI408">
        <f t="shared" si="385"/>
        <v>1.5606465131270781</v>
      </c>
      <c r="AJ408" t="str">
        <f t="shared" si="367"/>
        <v>1+1.87658272155506i</v>
      </c>
      <c r="AK408">
        <f t="shared" si="386"/>
        <v>2.1263966494610065</v>
      </c>
      <c r="AL408">
        <f t="shared" si="387"/>
        <v>1.0811892692264469</v>
      </c>
      <c r="AM408" t="str">
        <f t="shared" si="368"/>
        <v>1-0.241621463708888i</v>
      </c>
      <c r="AN408">
        <f t="shared" si="388"/>
        <v>1.0287764245572628</v>
      </c>
      <c r="AO408">
        <f t="shared" si="389"/>
        <v>-0.23707756963011353</v>
      </c>
      <c r="AP408" s="41" t="str">
        <f t="shared" si="390"/>
        <v>1.2104560254298-1.05425354725345i</v>
      </c>
      <c r="AQ408">
        <f t="shared" si="391"/>
        <v>4.1105616009663244</v>
      </c>
      <c r="AR408" s="43">
        <f t="shared" si="392"/>
        <v>-41.054420689505115</v>
      </c>
      <c r="AS408" t="str">
        <f t="shared" si="369"/>
        <v>-0.0000166666666666667</v>
      </c>
      <c r="AT408" t="str">
        <f t="shared" si="370"/>
        <v>0.00169690990778915i</v>
      </c>
      <c r="AU408">
        <f t="shared" si="393"/>
        <v>1.69690990778915E-3</v>
      </c>
      <c r="AV408">
        <f t="shared" si="394"/>
        <v>1.5707963267948966</v>
      </c>
      <c r="AW408" t="str">
        <f t="shared" si="371"/>
        <v>1+1.69544199264401i</v>
      </c>
      <c r="AX408">
        <f t="shared" si="395"/>
        <v>1.9683809464686177</v>
      </c>
      <c r="AY408">
        <f t="shared" si="396"/>
        <v>1.0378981971669243</v>
      </c>
      <c r="AZ408" t="str">
        <f t="shared" si="372"/>
        <v>1+57.6450277498962i</v>
      </c>
      <c r="BA408">
        <f t="shared" si="397"/>
        <v>57.653700872418447</v>
      </c>
      <c r="BB408">
        <f t="shared" si="398"/>
        <v>1.5534505166766281</v>
      </c>
      <c r="BC408" s="41" t="str">
        <f t="shared" si="399"/>
        <v>-0.141830140997239+0.250286551490469i</v>
      </c>
      <c r="BD408">
        <f t="shared" si="400"/>
        <v>-10.821839955641003</v>
      </c>
      <c r="BE408" s="43">
        <f t="shared" si="401"/>
        <v>119.5389720260862</v>
      </c>
      <c r="BF408" s="41" t="str">
        <f t="shared" si="402"/>
        <v>0.118041892924374+0.016833997818355i</v>
      </c>
      <c r="BG408" s="20">
        <f t="shared" si="403"/>
        <v>-18.471837287136402</v>
      </c>
      <c r="BH408" s="43">
        <f t="shared" si="404"/>
        <v>8.1162455148372477</v>
      </c>
      <c r="BI408" s="41" t="str">
        <f t="shared" si="357"/>
        <v>0.0921863359809942+0.45248579358948i</v>
      </c>
      <c r="BJ408" s="20">
        <f t="shared" si="405"/>
        <v>-6.7112783546746835</v>
      </c>
      <c r="BK408" s="43">
        <f t="shared" si="358"/>
        <v>78.484551336581077</v>
      </c>
      <c r="BL408">
        <f t="shared" si="406"/>
        <v>-18.471837287136402</v>
      </c>
      <c r="BM408" s="43">
        <f t="shared" si="407"/>
        <v>8.1162455148372477</v>
      </c>
    </row>
    <row r="409" spans="14:65" x14ac:dyDescent="0.25">
      <c r="N409" s="9">
        <v>91</v>
      </c>
      <c r="O409" s="34">
        <f t="shared" si="359"/>
        <v>81283.051616410012</v>
      </c>
      <c r="P409" s="33" t="str">
        <f t="shared" si="360"/>
        <v>19.6196196196196</v>
      </c>
      <c r="Q409" s="4" t="str">
        <f t="shared" si="361"/>
        <v>1+123.622527083716i</v>
      </c>
      <c r="R409" s="4">
        <f t="shared" si="373"/>
        <v>123.6265715878431</v>
      </c>
      <c r="S409" s="4">
        <f t="shared" si="374"/>
        <v>1.562707362646957</v>
      </c>
      <c r="T409" s="4" t="str">
        <f t="shared" si="362"/>
        <v>1+1.92029394840244i</v>
      </c>
      <c r="U409" s="4">
        <f t="shared" si="375"/>
        <v>2.1650701716736647</v>
      </c>
      <c r="V409" s="4">
        <f t="shared" si="376"/>
        <v>1.090684013350095</v>
      </c>
      <c r="W409" t="str">
        <f t="shared" si="363"/>
        <v>1-1.1171922904602i</v>
      </c>
      <c r="X409" s="4">
        <f t="shared" si="377"/>
        <v>1.4993727401362571</v>
      </c>
      <c r="Y409" s="4">
        <f t="shared" si="378"/>
        <v>-0.84069442593135146</v>
      </c>
      <c r="Z409" t="str">
        <f t="shared" si="364"/>
        <v>0.993393065519924+0.747834839328458i</v>
      </c>
      <c r="AA409" s="4">
        <f t="shared" si="379"/>
        <v>1.2434173593514339</v>
      </c>
      <c r="AB409" s="4">
        <f t="shared" si="380"/>
        <v>0.64529618856496596</v>
      </c>
      <c r="AC409" s="47" t="str">
        <f t="shared" si="381"/>
        <v>-0.156455540511424-0.38365175843515i</v>
      </c>
      <c r="AD409" s="20">
        <f t="shared" si="382"/>
        <v>-7.6531316238512073</v>
      </c>
      <c r="AE409" s="43">
        <f t="shared" si="383"/>
        <v>-112.18593635303036</v>
      </c>
      <c r="AF409" t="str">
        <f t="shared" si="365"/>
        <v>72.2956529813786</v>
      </c>
      <c r="AG409" t="str">
        <f t="shared" si="366"/>
        <v>1+100.815432291128i</v>
      </c>
      <c r="AH409">
        <f t="shared" si="384"/>
        <v>100.82039172730394</v>
      </c>
      <c r="AI409">
        <f t="shared" si="385"/>
        <v>1.5608775357633931</v>
      </c>
      <c r="AJ409" t="str">
        <f t="shared" si="367"/>
        <v>1+1.92029394840244i</v>
      </c>
      <c r="AK409">
        <f t="shared" si="386"/>
        <v>2.1650701716736647</v>
      </c>
      <c r="AL409">
        <f t="shared" si="387"/>
        <v>1.090684013350095</v>
      </c>
      <c r="AM409" t="str">
        <f t="shared" si="368"/>
        <v>1-0.247249550597923i</v>
      </c>
      <c r="AN409">
        <f t="shared" si="388"/>
        <v>1.0301127803647885</v>
      </c>
      <c r="AO409">
        <f t="shared" si="389"/>
        <v>-0.24238833428684703</v>
      </c>
      <c r="AP409" s="41" t="str">
        <f t="shared" si="390"/>
        <v>1.21012644116428-1.04558308678661i</v>
      </c>
      <c r="AQ409">
        <f t="shared" si="391"/>
        <v>4.0784111260182074</v>
      </c>
      <c r="AR409" s="43">
        <f t="shared" si="392"/>
        <v>-40.827932946514629</v>
      </c>
      <c r="AS409" t="str">
        <f t="shared" si="369"/>
        <v>-0.0000166666666666667</v>
      </c>
      <c r="AT409" t="str">
        <f t="shared" si="370"/>
        <v>0.00173643601717242i</v>
      </c>
      <c r="AU409">
        <f t="shared" si="393"/>
        <v>1.73643601717242E-3</v>
      </c>
      <c r="AV409">
        <f t="shared" si="394"/>
        <v>1.5707963267948966</v>
      </c>
      <c r="AW409" t="str">
        <f t="shared" si="371"/>
        <v>1+1.73493390989113i</v>
      </c>
      <c r="AX409">
        <f t="shared" si="395"/>
        <v>2.0024973587223838</v>
      </c>
      <c r="AY409">
        <f t="shared" si="396"/>
        <v>1.0479174279441774</v>
      </c>
      <c r="AZ409" t="str">
        <f t="shared" si="372"/>
        <v>1+58.9877529362984i</v>
      </c>
      <c r="BA409">
        <f t="shared" si="397"/>
        <v>58.996228663142368</v>
      </c>
      <c r="BB409">
        <f t="shared" si="398"/>
        <v>1.5538452790086779</v>
      </c>
      <c r="BC409" s="41" t="str">
        <f t="shared" si="399"/>
        <v>-0.137038607131881+0.247351130212957i</v>
      </c>
      <c r="BD409">
        <f t="shared" si="400"/>
        <v>-10.971154749534852</v>
      </c>
      <c r="BE409" s="43">
        <f t="shared" si="401"/>
        <v>118.98753060411904</v>
      </c>
      <c r="BF409" s="41" t="str">
        <f t="shared" si="402"/>
        <v>0.116337145406874+0.01387564782607i</v>
      </c>
      <c r="BG409" s="20">
        <f t="shared" si="403"/>
        <v>-18.624286373386049</v>
      </c>
      <c r="BH409" s="43">
        <f t="shared" si="404"/>
        <v>6.8015942510886616</v>
      </c>
      <c r="BI409" s="41" t="str">
        <f t="shared" si="357"/>
        <v>0.0927921162976072+0.442611392776458i</v>
      </c>
      <c r="BJ409" s="20">
        <f t="shared" si="405"/>
        <v>-6.8927436235166422</v>
      </c>
      <c r="BK409" s="43">
        <f t="shared" si="358"/>
        <v>78.159597657604436</v>
      </c>
      <c r="BL409">
        <f t="shared" si="406"/>
        <v>-18.624286373386049</v>
      </c>
      <c r="BM409" s="43">
        <f t="shared" si="407"/>
        <v>6.8015942510886616</v>
      </c>
    </row>
    <row r="410" spans="14:65" x14ac:dyDescent="0.25">
      <c r="N410" s="9">
        <v>92</v>
      </c>
      <c r="O410" s="34">
        <f t="shared" si="359"/>
        <v>83176.377110267174</v>
      </c>
      <c r="P410" s="33" t="str">
        <f t="shared" si="360"/>
        <v>19.6196196196196</v>
      </c>
      <c r="Q410" s="4" t="str">
        <f t="shared" si="361"/>
        <v>1+126.502065652804i</v>
      </c>
      <c r="R410" s="4">
        <f t="shared" si="373"/>
        <v>126.5060180956872</v>
      </c>
      <c r="S410" s="4">
        <f t="shared" si="374"/>
        <v>1.5628914821910014</v>
      </c>
      <c r="T410" s="4" t="str">
        <f t="shared" si="362"/>
        <v>1+1.96502334051936i</v>
      </c>
      <c r="U410" s="4">
        <f t="shared" si="375"/>
        <v>2.2048393884330588</v>
      </c>
      <c r="V410" s="4">
        <f t="shared" si="376"/>
        <v>1.1000542469032275</v>
      </c>
      <c r="W410" t="str">
        <f t="shared" si="363"/>
        <v>1-1.143215041858i</v>
      </c>
      <c r="X410" s="4">
        <f t="shared" si="377"/>
        <v>1.5188616236940049</v>
      </c>
      <c r="Y410" s="4">
        <f t="shared" si="378"/>
        <v>-0.85212149479255039</v>
      </c>
      <c r="Z410" t="str">
        <f t="shared" si="364"/>
        <v>0.993081690290811+0.765254150468215i</v>
      </c>
      <c r="AA410" s="4">
        <f t="shared" si="379"/>
        <v>1.2537245145564009</v>
      </c>
      <c r="AB410" s="4">
        <f t="shared" si="380"/>
        <v>0.6565460559539642</v>
      </c>
      <c r="AC410" s="47" t="str">
        <f t="shared" si="381"/>
        <v>-0.161590514741907-0.381443856299264i</v>
      </c>
      <c r="AD410" s="20">
        <f t="shared" si="382"/>
        <v>-7.6545510584559899</v>
      </c>
      <c r="AE410" s="43">
        <f t="shared" si="383"/>
        <v>-112.95890352960711</v>
      </c>
      <c r="AF410" t="str">
        <f t="shared" si="365"/>
        <v>72.2956529813786</v>
      </c>
      <c r="AG410" t="str">
        <f t="shared" si="366"/>
        <v>1+103.163725377266i</v>
      </c>
      <c r="AH410">
        <f t="shared" si="384"/>
        <v>103.16857192825708</v>
      </c>
      <c r="AI410">
        <f t="shared" si="385"/>
        <v>1.5611033007055868</v>
      </c>
      <c r="AJ410" t="str">
        <f t="shared" si="367"/>
        <v>1+1.96502334051936i</v>
      </c>
      <c r="AK410">
        <f t="shared" si="386"/>
        <v>2.2048393884330588</v>
      </c>
      <c r="AL410">
        <f t="shared" si="387"/>
        <v>1.1000542469032275</v>
      </c>
      <c r="AM410" t="str">
        <f t="shared" si="368"/>
        <v>1-0.253008732471421i</v>
      </c>
      <c r="AN410">
        <f t="shared" si="388"/>
        <v>1.0315102610768325</v>
      </c>
      <c r="AO410">
        <f t="shared" si="389"/>
        <v>-0.24780840050099515</v>
      </c>
      <c r="AP410" s="41" t="str">
        <f t="shared" si="390"/>
        <v>1.20981168778125-1.03746671398684i</v>
      </c>
      <c r="AQ410">
        <f t="shared" si="391"/>
        <v>4.0483055387129934</v>
      </c>
      <c r="AR410" s="43">
        <f t="shared" si="392"/>
        <v>-40.614540407969763</v>
      </c>
      <c r="AS410" t="str">
        <f t="shared" si="369"/>
        <v>-0.0000166666666666667</v>
      </c>
      <c r="AT410" t="str">
        <f t="shared" si="370"/>
        <v>0.00177688280791644i</v>
      </c>
      <c r="AU410">
        <f t="shared" si="393"/>
        <v>1.7768828079164399E-3</v>
      </c>
      <c r="AV410">
        <f t="shared" si="394"/>
        <v>1.5707963267948966</v>
      </c>
      <c r="AW410" t="str">
        <f t="shared" si="371"/>
        <v>1+1.77534571206184i</v>
      </c>
      <c r="AX410">
        <f t="shared" si="395"/>
        <v>2.0376094810675478</v>
      </c>
      <c r="AY410">
        <f t="shared" si="396"/>
        <v>1.0578216966408251</v>
      </c>
      <c r="AZ410" t="str">
        <f t="shared" si="372"/>
        <v>1+60.3617542101026i</v>
      </c>
      <c r="BA410">
        <f t="shared" si="397"/>
        <v>60.370037032627692</v>
      </c>
      <c r="BB410">
        <f t="shared" si="398"/>
        <v>1.5542310605586349</v>
      </c>
      <c r="BC410" s="41" t="str">
        <f t="shared" si="399"/>
        <v>-0.132356396341507+0.244358082653604i</v>
      </c>
      <c r="BD410">
        <f t="shared" si="400"/>
        <v>-11.122190925398295</v>
      </c>
      <c r="BE410" s="43">
        <f t="shared" si="401"/>
        <v>118.44216146326426</v>
      </c>
      <c r="BF410" s="41" t="str">
        <f t="shared" si="402"/>
        <v>0.114596427579493+0.0110005858690369i</v>
      </c>
      <c r="BG410" s="20">
        <f t="shared" si="403"/>
        <v>-18.776741983854279</v>
      </c>
      <c r="BH410" s="43">
        <f t="shared" si="404"/>
        <v>5.4832579336571596</v>
      </c>
      <c r="BI410" s="41" t="str">
        <f t="shared" si="357"/>
        <v>0.0933870618001966+0.43294261998571i</v>
      </c>
      <c r="BJ410" s="20">
        <f t="shared" si="405"/>
        <v>-7.0738853866852969</v>
      </c>
      <c r="BK410" s="43">
        <f t="shared" si="358"/>
        <v>77.827621055294514</v>
      </c>
      <c r="BL410">
        <f t="shared" si="406"/>
        <v>-18.776741983854279</v>
      </c>
      <c r="BM410" s="43">
        <f t="shared" si="407"/>
        <v>5.4832579336571596</v>
      </c>
    </row>
    <row r="411" spans="14:65" x14ac:dyDescent="0.25">
      <c r="N411" s="9">
        <v>93</v>
      </c>
      <c r="O411" s="34">
        <f t="shared" si="359"/>
        <v>85113.803820237721</v>
      </c>
      <c r="P411" s="33" t="str">
        <f t="shared" si="360"/>
        <v>19.6196196196196</v>
      </c>
      <c r="Q411" s="4" t="str">
        <f t="shared" si="361"/>
        <v>1+129.448677291554i</v>
      </c>
      <c r="R411" s="4">
        <f t="shared" si="373"/>
        <v>129.45253976856881</v>
      </c>
      <c r="S411" s="4">
        <f t="shared" si="374"/>
        <v>1.5630714111804387</v>
      </c>
      <c r="T411" s="4" t="str">
        <f t="shared" si="362"/>
        <v>1+2.01079461402157i</v>
      </c>
      <c r="U411" s="4">
        <f t="shared" si="375"/>
        <v>2.2457281624849776</v>
      </c>
      <c r="V411" s="4">
        <f t="shared" si="376"/>
        <v>1.1092983554693878</v>
      </c>
      <c r="W411" t="str">
        <f t="shared" si="363"/>
        <v>1-1.16984394100324i</v>
      </c>
      <c r="X411" s="4">
        <f t="shared" si="377"/>
        <v>1.5390044984671072</v>
      </c>
      <c r="Y411" s="4">
        <f t="shared" si="378"/>
        <v>-0.86351361367144142</v>
      </c>
      <c r="Z411" t="str">
        <f t="shared" si="364"/>
        <v>0.99275564039925+0.783079209487885i</v>
      </c>
      <c r="AA411" s="4">
        <f t="shared" si="379"/>
        <v>1.2644274632720913</v>
      </c>
      <c r="AB411" s="4">
        <f t="shared" si="380"/>
        <v>0.66787026709247621</v>
      </c>
      <c r="AC411" s="47" t="str">
        <f t="shared" si="381"/>
        <v>-0.166786938385343-0.379211676315462i</v>
      </c>
      <c r="AD411" s="20">
        <f t="shared" si="382"/>
        <v>-7.6543367569157104</v>
      </c>
      <c r="AE411" s="43">
        <f t="shared" si="383"/>
        <v>-113.74111413113584</v>
      </c>
      <c r="AF411" t="str">
        <f t="shared" si="365"/>
        <v>72.2956529813786</v>
      </c>
      <c r="AG411" t="str">
        <f t="shared" si="366"/>
        <v>1+105.566717236133i</v>
      </c>
      <c r="AH411">
        <f t="shared" si="384"/>
        <v>105.5714534711617</v>
      </c>
      <c r="AI411">
        <f t="shared" si="385"/>
        <v>1.5613239275651094</v>
      </c>
      <c r="AJ411" t="str">
        <f t="shared" si="367"/>
        <v>1+2.01079461402157i</v>
      </c>
      <c r="AK411">
        <f t="shared" si="386"/>
        <v>2.2457281624849776</v>
      </c>
      <c r="AL411">
        <f t="shared" si="387"/>
        <v>1.1092983554693878</v>
      </c>
      <c r="AM411" t="str">
        <f t="shared" si="368"/>
        <v>1-0.258902062923841i</v>
      </c>
      <c r="AN411">
        <f t="shared" si="388"/>
        <v>1.0329715766594068</v>
      </c>
      <c r="AO411">
        <f t="shared" si="389"/>
        <v>-0.25333936771146176</v>
      </c>
      <c r="AP411" s="41" t="str">
        <f t="shared" si="390"/>
        <v>1.20951109803201-1.02990014508717i</v>
      </c>
      <c r="AQ411">
        <f t="shared" si="391"/>
        <v>4.0202248147230542</v>
      </c>
      <c r="AR411" s="43">
        <f t="shared" si="392"/>
        <v>-40.414434067450955</v>
      </c>
      <c r="AS411" t="str">
        <f t="shared" si="369"/>
        <v>-0.0000166666666666667</v>
      </c>
      <c r="AT411" t="str">
        <f t="shared" si="370"/>
        <v>0.00181827172544504i</v>
      </c>
      <c r="AU411">
        <f t="shared" si="393"/>
        <v>1.81827172544504E-3</v>
      </c>
      <c r="AV411">
        <f t="shared" si="394"/>
        <v>1.5707963267948966</v>
      </c>
      <c r="AW411" t="str">
        <f t="shared" si="371"/>
        <v>1+1.81669882602857i</v>
      </c>
      <c r="AX411">
        <f t="shared" si="395"/>
        <v>2.0737392855645052</v>
      </c>
      <c r="AY411">
        <f t="shared" si="396"/>
        <v>1.0676084815422016</v>
      </c>
      <c r="AZ411" t="str">
        <f t="shared" si="372"/>
        <v>1+61.7677600849713i</v>
      </c>
      <c r="BA411">
        <f t="shared" si="397"/>
        <v>61.775854392428883</v>
      </c>
      <c r="BB411">
        <f t="shared" si="398"/>
        <v>1.5546080654134016</v>
      </c>
      <c r="BC411" s="41" t="str">
        <f t="shared" si="399"/>
        <v>-0.127784603376487+0.241312352345217i</v>
      </c>
      <c r="BD411">
        <f t="shared" si="400"/>
        <v>-11.274908606145775</v>
      </c>
      <c r="BE411" s="43">
        <f t="shared" si="401"/>
        <v>117.90302078044724</v>
      </c>
      <c r="BF411" s="41" t="str">
        <f t="shared" si="402"/>
        <v>0.112821264418407+0.00820966521148019i</v>
      </c>
      <c r="BG411" s="20">
        <f t="shared" si="403"/>
        <v>-18.929245363061465</v>
      </c>
      <c r="BH411" s="43">
        <f t="shared" si="404"/>
        <v>4.1619066493113746</v>
      </c>
      <c r="BI411" s="41" t="str">
        <f t="shared" si="357"/>
        <v>0.0939707307501856+0.423475349811101i</v>
      </c>
      <c r="BJ411" s="20">
        <f t="shared" si="405"/>
        <v>-7.2546837914227229</v>
      </c>
      <c r="BK411" s="43">
        <f t="shared" si="358"/>
        <v>77.48858671299628</v>
      </c>
      <c r="BL411">
        <f t="shared" si="406"/>
        <v>-18.929245363061465</v>
      </c>
      <c r="BM411" s="43">
        <f t="shared" si="407"/>
        <v>4.1619066493113746</v>
      </c>
    </row>
    <row r="412" spans="14:65" x14ac:dyDescent="0.25">
      <c r="N412" s="9">
        <v>94</v>
      </c>
      <c r="O412" s="34">
        <f t="shared" si="359"/>
        <v>87096.358995608127</v>
      </c>
      <c r="P412" s="33" t="str">
        <f t="shared" si="360"/>
        <v>19.6196196196196</v>
      </c>
      <c r="Q412" s="4" t="str">
        <f t="shared" si="361"/>
        <v>1+132.46392433246i</v>
      </c>
      <c r="R412" s="4">
        <f t="shared" si="373"/>
        <v>132.46769889129837</v>
      </c>
      <c r="S412" s="4">
        <f t="shared" si="374"/>
        <v>1.5632472449693731</v>
      </c>
      <c r="T412" s="4" t="str">
        <f t="shared" si="362"/>
        <v>1+2.05763203744416i</v>
      </c>
      <c r="U412" s="4">
        <f t="shared" si="375"/>
        <v>2.2877608269914509</v>
      </c>
      <c r="V412" s="4">
        <f t="shared" si="376"/>
        <v>1.1184149199334092</v>
      </c>
      <c r="W412" t="str">
        <f t="shared" si="363"/>
        <v>1-1.19709310689072i</v>
      </c>
      <c r="X412" s="4">
        <f t="shared" si="377"/>
        <v>1.5598179081435359</v>
      </c>
      <c r="Y412" s="4">
        <f t="shared" si="378"/>
        <v>-0.87486499591417544</v>
      </c>
      <c r="Z412" t="str">
        <f t="shared" si="364"/>
        <v>0.992414224249708+0.801319467469707i</v>
      </c>
      <c r="AA412" s="4">
        <f t="shared" si="379"/>
        <v>1.2755386632474472</v>
      </c>
      <c r="AB412" s="4">
        <f t="shared" si="380"/>
        <v>0.67926385271704104</v>
      </c>
      <c r="AC412" s="47" t="str">
        <f t="shared" si="381"/>
        <v>-0.172040593686067-0.376949905876325i</v>
      </c>
      <c r="AD412" s="20">
        <f t="shared" si="382"/>
        <v>-7.6525702953448818</v>
      </c>
      <c r="AE412" s="43">
        <f t="shared" si="383"/>
        <v>-114.53203866164715</v>
      </c>
      <c r="AF412" t="str">
        <f t="shared" si="365"/>
        <v>72.2956529813786</v>
      </c>
      <c r="AG412" t="str">
        <f t="shared" si="366"/>
        <v>1+108.025681965819i</v>
      </c>
      <c r="AH412">
        <f t="shared" si="384"/>
        <v>108.03031039564902</v>
      </c>
      <c r="AI412">
        <f t="shared" si="385"/>
        <v>1.5615395332352791</v>
      </c>
      <c r="AJ412" t="str">
        <f t="shared" si="367"/>
        <v>1+2.05763203744416i</v>
      </c>
      <c r="AK412">
        <f t="shared" si="386"/>
        <v>2.2877608269914509</v>
      </c>
      <c r="AL412">
        <f t="shared" si="387"/>
        <v>1.1184149199334092</v>
      </c>
      <c r="AM412" t="str">
        <f t="shared" si="368"/>
        <v>1-0.264932666676997i</v>
      </c>
      <c r="AN412">
        <f t="shared" si="388"/>
        <v>1.0344995494791598</v>
      </c>
      <c r="AO412">
        <f t="shared" si="389"/>
        <v>-0.2589828143308105</v>
      </c>
      <c r="AP412" s="41" t="str">
        <f t="shared" si="390"/>
        <v>1.209224034677-1.02287938652336i</v>
      </c>
      <c r="AQ412">
        <f t="shared" si="391"/>
        <v>3.9941497194615581</v>
      </c>
      <c r="AR412" s="43">
        <f t="shared" si="392"/>
        <v>-40.227792368139319</v>
      </c>
      <c r="AS412" t="str">
        <f t="shared" si="369"/>
        <v>-0.0000166666666666667</v>
      </c>
      <c r="AT412" t="str">
        <f t="shared" si="370"/>
        <v>0.00186062471471015i</v>
      </c>
      <c r="AU412">
        <f t="shared" si="393"/>
        <v>1.86062471471015E-3</v>
      </c>
      <c r="AV412">
        <f t="shared" si="394"/>
        <v>1.5707963267948966</v>
      </c>
      <c r="AW412" t="str">
        <f t="shared" si="371"/>
        <v>1+1.85901517775971i</v>
      </c>
      <c r="AX412">
        <f t="shared" si="395"/>
        <v>2.1109091480073143</v>
      </c>
      <c r="AY412">
        <f t="shared" si="396"/>
        <v>1.0772754718989124</v>
      </c>
      <c r="AZ412" t="str">
        <f t="shared" si="372"/>
        <v>1+63.2065160438301i</v>
      </c>
      <c r="BA412">
        <f t="shared" si="397"/>
        <v>63.214426125679189</v>
      </c>
      <c r="BB412">
        <f t="shared" si="398"/>
        <v>1.5549764930370182</v>
      </c>
      <c r="BC412" s="41" t="str">
        <f t="shared" si="399"/>
        <v>-0.123324043469026+0.238218833507799i</v>
      </c>
      <c r="BD412">
        <f t="shared" si="400"/>
        <v>-11.429267562068548</v>
      </c>
      <c r="BE412" s="43">
        <f t="shared" si="401"/>
        <v>117.37025238030316</v>
      </c>
      <c r="BF412" s="41" t="str">
        <f t="shared" si="402"/>
        <v>0.11101330852291+0.00550367703405308i</v>
      </c>
      <c r="BG412" s="20">
        <f t="shared" si="403"/>
        <v>-19.081837857413454</v>
      </c>
      <c r="BH412" s="43">
        <f t="shared" si="404"/>
        <v>2.8382137186560028</v>
      </c>
      <c r="BI412" s="41" t="str">
        <f t="shared" si="357"/>
        <v>0.0945427368604705+0.414205560917527i</v>
      </c>
      <c r="BJ412" s="20">
        <f t="shared" si="405"/>
        <v>-7.4351178426069842</v>
      </c>
      <c r="BK412" s="43">
        <f t="shared" si="358"/>
        <v>77.142460012163852</v>
      </c>
      <c r="BL412">
        <f t="shared" si="406"/>
        <v>-19.081837857413454</v>
      </c>
      <c r="BM412" s="43">
        <f t="shared" si="407"/>
        <v>2.8382137186560028</v>
      </c>
    </row>
    <row r="413" spans="14:65" x14ac:dyDescent="0.25">
      <c r="N413" s="9">
        <v>95</v>
      </c>
      <c r="O413" s="34">
        <f t="shared" si="359"/>
        <v>89125.093813374609</v>
      </c>
      <c r="P413" s="33" t="str">
        <f t="shared" si="360"/>
        <v>19.6196196196196</v>
      </c>
      <c r="Q413" s="4" t="str">
        <f t="shared" si="361"/>
        <v>1+135.549405499415i</v>
      </c>
      <c r="R413" s="4">
        <f t="shared" si="373"/>
        <v>135.55309414116977</v>
      </c>
      <c r="S413" s="4">
        <f t="shared" si="374"/>
        <v>1.5634190767436913</v>
      </c>
      <c r="T413" s="4" t="str">
        <f t="shared" si="362"/>
        <v>1+2.10556044460898i</v>
      </c>
      <c r="U413" s="4">
        <f t="shared" si="375"/>
        <v>2.3309622017317153</v>
      </c>
      <c r="V413" s="4">
        <f t="shared" si="376"/>
        <v>1.127402711507314</v>
      </c>
      <c r="W413" t="str">
        <f t="shared" si="363"/>
        <v>1-1.22497698738887i</v>
      </c>
      <c r="X413" s="4">
        <f t="shared" si="377"/>
        <v>1.5813186331768534</v>
      </c>
      <c r="Y413" s="4">
        <f t="shared" si="378"/>
        <v>-0.88616995963460332</v>
      </c>
      <c r="Z413" t="str">
        <f t="shared" si="364"/>
        <v>0.992056717652757+0.819984595639897i</v>
      </c>
      <c r="AA413" s="4">
        <f t="shared" si="379"/>
        <v>1.2870708092901055</v>
      </c>
      <c r="AB413" s="4">
        <f t="shared" si="380"/>
        <v>0.69072168847366444</v>
      </c>
      <c r="AC413" s="47" t="str">
        <f t="shared" si="381"/>
        <v>-0.177347028010039-0.374653490702929i</v>
      </c>
      <c r="AD413" s="20">
        <f t="shared" si="382"/>
        <v>-7.6493334639702679</v>
      </c>
      <c r="AE413" s="43">
        <f t="shared" si="383"/>
        <v>-115.33113371271135</v>
      </c>
      <c r="AF413" t="str">
        <f t="shared" si="365"/>
        <v>72.2956529813786</v>
      </c>
      <c r="AG413" t="str">
        <f t="shared" si="366"/>
        <v>1+110.541923341972i</v>
      </c>
      <c r="AH413">
        <f t="shared" si="384"/>
        <v>110.54644642023737</v>
      </c>
      <c r="AI413">
        <f t="shared" si="385"/>
        <v>1.5617502319528485</v>
      </c>
      <c r="AJ413" t="str">
        <f t="shared" si="367"/>
        <v>1+2.10556044460898i</v>
      </c>
      <c r="AK413">
        <f t="shared" si="386"/>
        <v>2.3309622017317153</v>
      </c>
      <c r="AL413">
        <f t="shared" si="387"/>
        <v>1.127402711507314</v>
      </c>
      <c r="AM413" t="str">
        <f t="shared" si="368"/>
        <v>1-0.271103741236824i</v>
      </c>
      <c r="AN413">
        <f t="shared" si="388"/>
        <v>1.0360971182821632</v>
      </c>
      <c r="AO413">
        <f t="shared" si="389"/>
        <v>-0.26474029411020483</v>
      </c>
      <c r="AP413" s="41" t="str">
        <f t="shared" si="390"/>
        <v>1.20894988913694-1.01640073290387i</v>
      </c>
      <c r="AQ413">
        <f t="shared" si="391"/>
        <v>3.9700619028419664</v>
      </c>
      <c r="AR413" s="43">
        <f t="shared" si="392"/>
        <v>-40.054781283068237</v>
      </c>
      <c r="AS413" t="str">
        <f t="shared" si="369"/>
        <v>-0.0000166666666666667</v>
      </c>
      <c r="AT413" t="str">
        <f t="shared" si="370"/>
        <v>0.00190396423182727i</v>
      </c>
      <c r="AU413">
        <f t="shared" si="393"/>
        <v>1.90396423182727E-3</v>
      </c>
      <c r="AV413">
        <f t="shared" si="394"/>
        <v>1.5707963267948966</v>
      </c>
      <c r="AW413" t="str">
        <f t="shared" si="371"/>
        <v>1+1.90231720394507i</v>
      </c>
      <c r="AX413">
        <f t="shared" si="395"/>
        <v>2.1491418623314256</v>
      </c>
      <c r="AY413">
        <f t="shared" si="396"/>
        <v>1.0868205654071275</v>
      </c>
      <c r="AZ413" t="str">
        <f t="shared" si="372"/>
        <v>1+64.6787849341323i</v>
      </c>
      <c r="BA413">
        <f t="shared" si="397"/>
        <v>64.686514982303208</v>
      </c>
      <c r="BB413">
        <f t="shared" si="398"/>
        <v>1.5553365383743782</v>
      </c>
      <c r="BC413" s="41" t="str">
        <f t="shared" si="399"/>
        <v>-0.118975262651003+0.235082354830107i</v>
      </c>
      <c r="BD413">
        <f t="shared" si="400"/>
        <v>-11.585227310957528</v>
      </c>
      <c r="BE413" s="43">
        <f t="shared" si="401"/>
        <v>116.84398788548873</v>
      </c>
      <c r="BF413" s="41" t="str">
        <f t="shared" si="402"/>
        <v>0.109174334077633+0.00288334049277518i</v>
      </c>
      <c r="BG413" s="20">
        <f t="shared" si="403"/>
        <v>-19.234560774927829</v>
      </c>
      <c r="BH413" s="43">
        <f t="shared" si="404"/>
        <v>1.5128541727774034</v>
      </c>
      <c r="BI413" s="41" t="str">
        <f t="shared" si="357"/>
        <v>0.09510274715012+0.405129330965818i</v>
      </c>
      <c r="BJ413" s="20">
        <f t="shared" si="405"/>
        <v>-7.6151654081155753</v>
      </c>
      <c r="BK413" s="43">
        <f t="shared" si="358"/>
        <v>76.789206602420521</v>
      </c>
      <c r="BL413">
        <f t="shared" si="406"/>
        <v>-19.234560774927829</v>
      </c>
      <c r="BM413" s="43">
        <f t="shared" si="407"/>
        <v>1.5128541727774034</v>
      </c>
    </row>
    <row r="414" spans="14:65" x14ac:dyDescent="0.25">
      <c r="N414" s="9">
        <v>96</v>
      </c>
      <c r="O414" s="34">
        <f t="shared" si="359"/>
        <v>91201.083935591028</v>
      </c>
      <c r="P414" s="33" t="str">
        <f t="shared" si="360"/>
        <v>19.6196196196196</v>
      </c>
      <c r="Q414" s="4" t="str">
        <f t="shared" si="361"/>
        <v>1+138.706756755373i</v>
      </c>
      <c r="R414" s="4">
        <f t="shared" si="373"/>
        <v>138.71036143559792</v>
      </c>
      <c r="S414" s="4">
        <f t="shared" si="374"/>
        <v>1.5635869975702628</v>
      </c>
      <c r="T414" s="4" t="str">
        <f t="shared" si="362"/>
        <v>1+2.15460524779192i</v>
      </c>
      <c r="U414" s="4">
        <f t="shared" si="375"/>
        <v>2.3753576096690114</v>
      </c>
      <c r="V414" s="4">
        <f t="shared" si="376"/>
        <v>1.1362606863483775</v>
      </c>
      <c r="W414" t="str">
        <f t="shared" si="363"/>
        <v>1-1.25351036690022i</v>
      </c>
      <c r="X414" s="4">
        <f t="shared" si="377"/>
        <v>1.6035236948440532</v>
      </c>
      <c r="Y414" s="4">
        <f t="shared" si="378"/>
        <v>-0.89742294122688415</v>
      </c>
      <c r="Z414" t="str">
        <f t="shared" si="364"/>
        <v>0.991682362288973+0.839084490496474i</v>
      </c>
      <c r="AA414" s="4">
        <f t="shared" si="379"/>
        <v>1.2990368316051573</v>
      </c>
      <c r="AB414" s="4">
        <f t="shared" si="380"/>
        <v>0.70223850585094327</v>
      </c>
      <c r="AC414" s="47" t="str">
        <f t="shared" si="381"/>
        <v>-0.182701567914795-0.372317652286462i</v>
      </c>
      <c r="AD414" s="20">
        <f t="shared" si="382"/>
        <v>-7.6447080286799753</v>
      </c>
      <c r="AE414" s="43">
        <f t="shared" si="383"/>
        <v>-116.13784367525736</v>
      </c>
      <c r="AF414" t="str">
        <f t="shared" si="365"/>
        <v>72.2956529813786</v>
      </c>
      <c r="AG414" t="str">
        <f t="shared" si="366"/>
        <v>1+113.116775509076i</v>
      </c>
      <c r="AH414">
        <f t="shared" si="384"/>
        <v>113.12119563358007</v>
      </c>
      <c r="AI414">
        <f t="shared" si="385"/>
        <v>1.5619561353581941</v>
      </c>
      <c r="AJ414" t="str">
        <f t="shared" si="367"/>
        <v>1+2.15460524779192i</v>
      </c>
      <c r="AK414">
        <f t="shared" si="386"/>
        <v>2.3753576096690114</v>
      </c>
      <c r="AL414">
        <f t="shared" si="387"/>
        <v>1.1362606863483775</v>
      </c>
      <c r="AM414" t="str">
        <f t="shared" si="368"/>
        <v>1-0.277418558588737i</v>
      </c>
      <c r="AN414">
        <f t="shared" si="388"/>
        <v>1.0377673422542513</v>
      </c>
      <c r="AO414">
        <f t="shared" si="389"/>
        <v>-0.27061333229979317</v>
      </c>
      <c r="AP414" s="41" t="str">
        <f t="shared" si="390"/>
        <v>1.2086880802048-1.01046076512683i</v>
      </c>
      <c r="AQ414">
        <f t="shared" si="391"/>
        <v>3.947943988339631</v>
      </c>
      <c r="AR414" s="43">
        <f t="shared" si="392"/>
        <v>-39.895554406938558</v>
      </c>
      <c r="AS414" t="str">
        <f t="shared" si="369"/>
        <v>-0.0000166666666666667</v>
      </c>
      <c r="AT414" t="str">
        <f t="shared" si="370"/>
        <v>0.00194831325598206i</v>
      </c>
      <c r="AU414">
        <f t="shared" si="393"/>
        <v>1.9483132559820599E-3</v>
      </c>
      <c r="AV414">
        <f t="shared" si="394"/>
        <v>1.5707963267948966</v>
      </c>
      <c r="AW414" t="str">
        <f t="shared" si="371"/>
        <v>1+1.94662786389211i</v>
      </c>
      <c r="AX414">
        <f t="shared" si="395"/>
        <v>2.1884606554565149</v>
      </c>
      <c r="AY414">
        <f t="shared" si="396"/>
        <v>1.0962418650385766</v>
      </c>
      <c r="AZ414" t="str">
        <f t="shared" si="372"/>
        <v>1+66.1853473723316i</v>
      </c>
      <c r="BA414">
        <f t="shared" si="397"/>
        <v>66.192901483438561</v>
      </c>
      <c r="BB414">
        <f t="shared" si="398"/>
        <v>1.5556883919526823</v>
      </c>
      <c r="BC414" s="41" t="str">
        <f t="shared" si="399"/>
        <v>-0.114738548951955+0.231907664536184i</v>
      </c>
      <c r="BD414">
        <f t="shared" si="400"/>
        <v>-11.742747214294988</v>
      </c>
      <c r="BE414" s="43">
        <f t="shared" si="401"/>
        <v>116.32434690412192</v>
      </c>
      <c r="BF414" s="41" t="str">
        <f t="shared" si="402"/>
        <v>0.107306230001139+0.000349293250328064i</v>
      </c>
      <c r="BG414" s="20">
        <f t="shared" si="403"/>
        <v>-19.387455242974973</v>
      </c>
      <c r="BH414" s="43">
        <f t="shared" si="404"/>
        <v>0.18650322886457157</v>
      </c>
      <c r="BI414" s="41" t="str">
        <f t="shared" si="357"/>
        <v>0.0956504796877858+0.396242831796554i</v>
      </c>
      <c r="BJ414" s="20">
        <f t="shared" si="405"/>
        <v>-7.7948032259553504</v>
      </c>
      <c r="BK414" s="43">
        <f t="shared" si="358"/>
        <v>76.428792497183395</v>
      </c>
      <c r="BL414">
        <f t="shared" si="406"/>
        <v>-19.387455242974973</v>
      </c>
      <c r="BM414" s="43">
        <f t="shared" si="407"/>
        <v>0.18650322886457157</v>
      </c>
    </row>
    <row r="415" spans="14:65" x14ac:dyDescent="0.25">
      <c r="N415" s="9">
        <v>97</v>
      </c>
      <c r="O415" s="34">
        <f t="shared" si="359"/>
        <v>93325.430079699145</v>
      </c>
      <c r="P415" s="33" t="str">
        <f t="shared" si="360"/>
        <v>19.6196196196196</v>
      </c>
      <c r="Q415" s="4" t="str">
        <f t="shared" si="361"/>
        <v>1+141.937652169765i</v>
      </c>
      <c r="R415" s="4">
        <f t="shared" si="373"/>
        <v>141.94117479951049</v>
      </c>
      <c r="S415" s="4">
        <f t="shared" si="374"/>
        <v>1.5637510964450316</v>
      </c>
      <c r="T415" s="4" t="str">
        <f t="shared" si="362"/>
        <v>1+2.20479245119681i</v>
      </c>
      <c r="U415" s="4">
        <f t="shared" si="375"/>
        <v>2.4209728938702391</v>
      </c>
      <c r="V415" s="4">
        <f t="shared" si="376"/>
        <v>1.1449879798230482</v>
      </c>
      <c r="W415" t="str">
        <f t="shared" si="363"/>
        <v>1-1.28270837420027i</v>
      </c>
      <c r="X415" s="4">
        <f t="shared" si="377"/>
        <v>1.626450359907581</v>
      </c>
      <c r="Y415" s="4">
        <f t="shared" si="378"/>
        <v>-0.90861850815682066</v>
      </c>
      <c r="Z415" t="str">
        <f t="shared" si="364"/>
        <v>0.991290364100439+0.858629279056509i</v>
      </c>
      <c r="AA415" s="4">
        <f t="shared" si="379"/>
        <v>1.3114498941291968</v>
      </c>
      <c r="AB415" s="4">
        <f t="shared" si="380"/>
        <v>0.71380890397511632</v>
      </c>
      <c r="AC415" s="47" t="str">
        <f t="shared" si="381"/>
        <v>-0.188099334938306-0.369937904317873i</v>
      </c>
      <c r="AD415" s="20">
        <f t="shared" si="382"/>
        <v>-7.6387754959275069</v>
      </c>
      <c r="AE415" s="43">
        <f t="shared" si="383"/>
        <v>-116.95160247967652</v>
      </c>
      <c r="AF415" t="str">
        <f t="shared" si="365"/>
        <v>72.2956529813786</v>
      </c>
      <c r="AG415" t="str">
        <f t="shared" si="366"/>
        <v>1+115.751603687833i</v>
      </c>
      <c r="AH415">
        <f t="shared" si="384"/>
        <v>115.75592320181785</v>
      </c>
      <c r="AI415">
        <f t="shared" si="385"/>
        <v>1.5621573525541506</v>
      </c>
      <c r="AJ415" t="str">
        <f t="shared" si="367"/>
        <v>1+2.20479245119681i</v>
      </c>
      <c r="AK415">
        <f t="shared" si="386"/>
        <v>2.4209728938702391</v>
      </c>
      <c r="AL415">
        <f t="shared" si="387"/>
        <v>1.1449879798230482</v>
      </c>
      <c r="AM415" t="str">
        <f t="shared" si="368"/>
        <v>1-0.283880466932483i</v>
      </c>
      <c r="AN415">
        <f t="shared" si="388"/>
        <v>1.0395134051592623</v>
      </c>
      <c r="AO415">
        <f t="shared" si="389"/>
        <v>-0.27660342160101986</v>
      </c>
      <c r="AP415" s="41" t="str">
        <f t="shared" si="390"/>
        <v>1.20843805281543-1.00505634864337i</v>
      </c>
      <c r="AQ415">
        <f t="shared" si="391"/>
        <v>3.9277796561419249</v>
      </c>
      <c r="AR415" s="43">
        <f t="shared" si="392"/>
        <v>-39.750253056228381</v>
      </c>
      <c r="AS415" t="str">
        <f t="shared" si="369"/>
        <v>-0.0000166666666666667</v>
      </c>
      <c r="AT415" t="str">
        <f t="shared" si="370"/>
        <v>0.00199369530161414i</v>
      </c>
      <c r="AU415">
        <f t="shared" si="393"/>
        <v>1.9936953016141401E-3</v>
      </c>
      <c r="AV415">
        <f t="shared" si="394"/>
        <v>1.5707963267948966</v>
      </c>
      <c r="AW415" t="str">
        <f t="shared" si="371"/>
        <v>1+1.99197065169925i</v>
      </c>
      <c r="AX415">
        <f t="shared" si="395"/>
        <v>2.2288892025471196</v>
      </c>
      <c r="AY415">
        <f t="shared" si="396"/>
        <v>1.1055376752746569</v>
      </c>
      <c r="AZ415" t="str">
        <f t="shared" si="372"/>
        <v>1+67.7270021577744i</v>
      </c>
      <c r="BA415">
        <f t="shared" si="397"/>
        <v>67.734384335278179</v>
      </c>
      <c r="BB415">
        <f t="shared" si="398"/>
        <v>1.5560322399806761</v>
      </c>
      <c r="BC415" s="41" t="str">
        <f t="shared" si="399"/>
        <v>-0.110613944333635+0.228699416763989i</v>
      </c>
      <c r="BD415">
        <f t="shared" si="400"/>
        <v>-11.901786569222775</v>
      </c>
      <c r="BE415" s="43">
        <f t="shared" si="401"/>
        <v>115.81143725123813</v>
      </c>
      <c r="BF415" s="41" t="str">
        <f t="shared" si="402"/>
        <v>0.105410992320449-0.00209791743896601i</v>
      </c>
      <c r="BG415" s="20">
        <f t="shared" si="403"/>
        <v>-19.540562065150318</v>
      </c>
      <c r="BH415" s="43">
        <f t="shared" si="404"/>
        <v>-1.1401652284384176</v>
      </c>
      <c r="BI415" s="41" t="str">
        <f t="shared" si="357"/>
        <v>0.0961857012449109+0.387542324875304i</v>
      </c>
      <c r="BJ415" s="20">
        <f t="shared" si="405"/>
        <v>-7.9740069130808413</v>
      </c>
      <c r="BK415" s="43">
        <f t="shared" si="358"/>
        <v>76.061184195009758</v>
      </c>
      <c r="BL415">
        <f t="shared" si="406"/>
        <v>-19.540562065150318</v>
      </c>
      <c r="BM415" s="43">
        <f t="shared" si="407"/>
        <v>-1.1401652284384176</v>
      </c>
    </row>
    <row r="416" spans="14:65" x14ac:dyDescent="0.25">
      <c r="N416" s="9">
        <v>98</v>
      </c>
      <c r="O416" s="34">
        <f t="shared" si="359"/>
        <v>95499.258602143804</v>
      </c>
      <c r="P416" s="33" t="str">
        <f t="shared" si="360"/>
        <v>19.6196196196196</v>
      </c>
      <c r="Q416" s="4" t="str">
        <f t="shared" si="361"/>
        <v>1+145.243804806104i</v>
      </c>
      <c r="R416" s="4">
        <f t="shared" si="373"/>
        <v>145.24724725292953</v>
      </c>
      <c r="S416" s="4">
        <f t="shared" si="374"/>
        <v>1.563911460340021</v>
      </c>
      <c r="T416" s="4" t="str">
        <f t="shared" si="362"/>
        <v>1+2.2561486647432i</v>
      </c>
      <c r="U416" s="4">
        <f t="shared" si="375"/>
        <v>2.4678344347671555</v>
      </c>
      <c r="V416" s="4">
        <f t="shared" si="376"/>
        <v>1.1535839004690089</v>
      </c>
      <c r="W416" t="str">
        <f t="shared" si="363"/>
        <v>1-1.31258649045898i</v>
      </c>
      <c r="X416" s="4">
        <f t="shared" si="377"/>
        <v>1.6501161458925919</v>
      </c>
      <c r="Y416" s="4">
        <f t="shared" si="378"/>
        <v>-0.91975137096642456</v>
      </c>
      <c r="Z416" t="str">
        <f t="shared" si="364"/>
        <v>0.990879891606441+0.878629324225603i</v>
      </c>
      <c r="AA416" s="4">
        <f t="shared" si="379"/>
        <v>1.324323392898854</v>
      </c>
      <c r="AB416" s="4">
        <f t="shared" si="380"/>
        <v>0.72542736221303616</v>
      </c>
      <c r="AC416" s="47" t="str">
        <f t="shared" si="381"/>
        <v>-0.193535263017868-0.367510067919608i</v>
      </c>
      <c r="AD416" s="20">
        <f t="shared" si="382"/>
        <v>-7.6316168823796984</v>
      </c>
      <c r="AE416" s="43">
        <f t="shared" si="383"/>
        <v>-117.77183535437304</v>
      </c>
      <c r="AF416" t="str">
        <f t="shared" si="365"/>
        <v>72.2956529813786</v>
      </c>
      <c r="AG416" t="str">
        <f t="shared" si="366"/>
        <v>1+118.447804899018i</v>
      </c>
      <c r="AH416">
        <f t="shared" si="384"/>
        <v>118.45202609240515</v>
      </c>
      <c r="AI416">
        <f t="shared" si="385"/>
        <v>1.5623539901635253</v>
      </c>
      <c r="AJ416" t="str">
        <f t="shared" si="367"/>
        <v>1+2.2561486647432i</v>
      </c>
      <c r="AK416">
        <f t="shared" si="386"/>
        <v>2.4678344347671555</v>
      </c>
      <c r="AL416">
        <f t="shared" si="387"/>
        <v>1.1535839004690089</v>
      </c>
      <c r="AM416" t="str">
        <f t="shared" si="368"/>
        <v>1-0.290492892457398i</v>
      </c>
      <c r="AN416">
        <f t="shared" si="388"/>
        <v>1.041338619550944</v>
      </c>
      <c r="AO416">
        <f t="shared" si="389"/>
        <v>-0.28271201790810557</v>
      </c>
      <c r="AP416" s="41" t="str">
        <f t="shared" si="390"/>
        <v>1.20819927687044-1.00018463186669i</v>
      </c>
      <c r="AQ416">
        <f t="shared" si="391"/>
        <v>3.9095537202086765</v>
      </c>
      <c r="AR416" s="43">
        <f t="shared" si="392"/>
        <v>-39.619006374441362</v>
      </c>
      <c r="AS416" t="str">
        <f t="shared" si="369"/>
        <v>-0.0000166666666666667</v>
      </c>
      <c r="AT416" t="str">
        <f t="shared" si="370"/>
        <v>0.00204013443088481i</v>
      </c>
      <c r="AU416">
        <f t="shared" si="393"/>
        <v>2.0401344308848099E-3</v>
      </c>
      <c r="AV416">
        <f t="shared" si="394"/>
        <v>1.5707963267948966</v>
      </c>
      <c r="AW416" t="str">
        <f t="shared" si="371"/>
        <v>1+2.03836960871277i</v>
      </c>
      <c r="AX416">
        <f t="shared" si="395"/>
        <v>2.2704516426746131</v>
      </c>
      <c r="AY416">
        <f t="shared" si="396"/>
        <v>1.1147064977998953</v>
      </c>
      <c r="AZ416" t="str">
        <f t="shared" si="372"/>
        <v>1+69.3045666962341i</v>
      </c>
      <c r="BA416">
        <f t="shared" si="397"/>
        <v>69.311780852556097</v>
      </c>
      <c r="BB416">
        <f t="shared" si="398"/>
        <v>1.55636826444572</v>
      </c>
      <c r="BC416" s="41" t="str">
        <f t="shared" si="399"/>
        <v>-0.106601257221252+0.225462159268165i</v>
      </c>
      <c r="BD416">
        <f t="shared" si="400"/>
        <v>-12.062304696044016</v>
      </c>
      <c r="BE416" s="43">
        <f t="shared" si="401"/>
        <v>115.30535520109744</v>
      </c>
      <c r="BF416" s="41" t="str">
        <f t="shared" si="402"/>
        <v>0.103490715820295-0.00445784301284284i</v>
      </c>
      <c r="BG416" s="20">
        <f t="shared" si="403"/>
        <v>-19.693921578423733</v>
      </c>
      <c r="BH416" s="43">
        <f t="shared" si="404"/>
        <v>-2.4664801532755543</v>
      </c>
      <c r="BI416" s="41" t="str">
        <f t="shared" si="357"/>
        <v>0.0967082248793023+0.379024156999809i</v>
      </c>
      <c r="BJ416" s="20">
        <f t="shared" si="405"/>
        <v>-8.1527509758353442</v>
      </c>
      <c r="BK416" s="43">
        <f t="shared" si="358"/>
        <v>75.686348826656101</v>
      </c>
      <c r="BL416">
        <f t="shared" si="406"/>
        <v>-19.693921578423733</v>
      </c>
      <c r="BM416" s="43">
        <f t="shared" si="407"/>
        <v>-2.4664801532755543</v>
      </c>
    </row>
    <row r="417" spans="14:65" x14ac:dyDescent="0.25">
      <c r="N417" s="9">
        <v>99</v>
      </c>
      <c r="O417" s="34">
        <f t="shared" si="359"/>
        <v>97723.722095581266</v>
      </c>
      <c r="P417" s="33" t="str">
        <f t="shared" si="360"/>
        <v>19.6196196196196</v>
      </c>
      <c r="Q417" s="4" t="str">
        <f t="shared" si="361"/>
        <v>1+148.626967630279i</v>
      </c>
      <c r="R417" s="4">
        <f t="shared" si="373"/>
        <v>148.63033171924232</v>
      </c>
      <c r="S417" s="4">
        <f t="shared" si="374"/>
        <v>1.5640681742492804</v>
      </c>
      <c r="T417" s="4" t="str">
        <f t="shared" si="362"/>
        <v>1+2.3087011181753i</v>
      </c>
      <c r="U417" s="4">
        <f t="shared" si="375"/>
        <v>2.5159691677490565</v>
      </c>
      <c r="V417" s="4">
        <f t="shared" si="376"/>
        <v>1.1620479237057988</v>
      </c>
      <c r="W417" t="str">
        <f t="shared" si="363"/>
        <v>1-1.34316055744906i</v>
      </c>
      <c r="X417" s="4">
        <f t="shared" si="377"/>
        <v>1.6745388269869617</v>
      </c>
      <c r="Y417" s="4">
        <f t="shared" si="378"/>
        <v>-0.9308163944347243</v>
      </c>
      <c r="Z417" t="str">
        <f t="shared" si="364"/>
        <v>0.990450074139786+0.899095230292433i</v>
      </c>
      <c r="AA417" s="4">
        <f t="shared" si="379"/>
        <v>1.3376709544944567</v>
      </c>
      <c r="AB417" s="4">
        <f t="shared" si="380"/>
        <v>0.73708825352033014</v>
      </c>
      <c r="AC417" s="47" t="str">
        <f t="shared" si="381"/>
        <v>-0.19900411742765-0.365030285502268i</v>
      </c>
      <c r="AD417" s="20">
        <f t="shared" si="382"/>
        <v>-7.6233124906629293</v>
      </c>
      <c r="AE417" s="43">
        <f t="shared" si="383"/>
        <v>-118.59796059301149</v>
      </c>
      <c r="AF417" t="str">
        <f t="shared" si="365"/>
        <v>72.2956529813786</v>
      </c>
      <c r="AG417" t="str">
        <f t="shared" si="366"/>
        <v>1+121.206808704203i</v>
      </c>
      <c r="AH417">
        <f t="shared" si="384"/>
        <v>121.21093381480593</v>
      </c>
      <c r="AI417">
        <f t="shared" si="385"/>
        <v>1.5625461523853206</v>
      </c>
      <c r="AJ417" t="str">
        <f t="shared" si="367"/>
        <v>1+2.3087011181753i</v>
      </c>
      <c r="AK417">
        <f t="shared" si="386"/>
        <v>2.5159691677490565</v>
      </c>
      <c r="AL417">
        <f t="shared" si="387"/>
        <v>1.1620479237057988</v>
      </c>
      <c r="AM417" t="str">
        <f t="shared" si="368"/>
        <v>1-0.297259341159022i</v>
      </c>
      <c r="AN417">
        <f t="shared" si="388"/>
        <v>1.0432464310537064</v>
      </c>
      <c r="AO417">
        <f t="shared" si="389"/>
        <v>-0.28894053583684898</v>
      </c>
      <c r="AP417" s="41" t="str">
        <f t="shared" si="390"/>
        <v>1.20797124611586-0.995843044726452i</v>
      </c>
      <c r="AQ417">
        <f t="shared" si="391"/>
        <v>3.893252199094257</v>
      </c>
      <c r="AR417" s="43">
        <f t="shared" si="392"/>
        <v>-39.50193143950176</v>
      </c>
      <c r="AS417" t="str">
        <f t="shared" si="369"/>
        <v>-0.0000166666666666667</v>
      </c>
      <c r="AT417" t="str">
        <f t="shared" si="370"/>
        <v>0.00208765526643511i</v>
      </c>
      <c r="AU417">
        <f t="shared" si="393"/>
        <v>2.08765526643511E-3</v>
      </c>
      <c r="AV417">
        <f t="shared" si="394"/>
        <v>1.5707963267948966</v>
      </c>
      <c r="AW417" t="str">
        <f t="shared" si="371"/>
        <v>1+2.08584933627384i</v>
      </c>
      <c r="AX417">
        <f t="shared" si="395"/>
        <v>2.3131725948649007</v>
      </c>
      <c r="AY417">
        <f t="shared" si="396"/>
        <v>1.1237470267101828</v>
      </c>
      <c r="AZ417" t="str">
        <f t="shared" si="372"/>
        <v>1+70.9188774333105i</v>
      </c>
      <c r="BA417">
        <f t="shared" si="397"/>
        <v>70.925927391898909</v>
      </c>
      <c r="BB417">
        <f t="shared" si="398"/>
        <v>1.5566966432087277</v>
      </c>
      <c r="BC417" s="41" t="str">
        <f t="shared" si="399"/>
        <v>-0.102700075496661+0.222200322444924i</v>
      </c>
      <c r="BD417">
        <f t="shared" si="400"/>
        <v>-12.224261021066564</v>
      </c>
      <c r="BE417" s="43">
        <f t="shared" si="401"/>
        <v>114.80618576717416</v>
      </c>
      <c r="BF417" s="41" t="str">
        <f t="shared" si="402"/>
        <v>0.101547585024733-0.0067301411806407i</v>
      </c>
      <c r="BG417" s="20">
        <f t="shared" si="403"/>
        <v>-19.847573511729465</v>
      </c>
      <c r="BH417" s="43">
        <f t="shared" si="404"/>
        <v>-3.7917748258373334</v>
      </c>
      <c r="BI417" s="41" t="str">
        <f t="shared" si="357"/>
        <v>0.097217907468858+0.370684756267372i</v>
      </c>
      <c r="BJ417" s="20">
        <f t="shared" si="405"/>
        <v>-8.3310088219723113</v>
      </c>
      <c r="BK417" s="43">
        <f t="shared" si="358"/>
        <v>75.304254327672396</v>
      </c>
      <c r="BL417">
        <f t="shared" si="406"/>
        <v>-19.847573511729465</v>
      </c>
      <c r="BM417" s="43">
        <f t="shared" si="407"/>
        <v>-3.7917748258373334</v>
      </c>
    </row>
    <row r="418" spans="14:65" x14ac:dyDescent="0.25">
      <c r="N418" s="9">
        <v>100</v>
      </c>
      <c r="O418" s="34">
        <f t="shared" si="359"/>
        <v>100000</v>
      </c>
      <c r="P418" s="33" t="str">
        <f t="shared" si="360"/>
        <v>19.6196196196196</v>
      </c>
      <c r="Q418" s="4" t="str">
        <f t="shared" si="361"/>
        <v>1+152.088934440003i</v>
      </c>
      <c r="R418" s="4">
        <f t="shared" si="373"/>
        <v>152.09222195462701</v>
      </c>
      <c r="S418" s="4">
        <f t="shared" si="374"/>
        <v>1.5642213212337903</v>
      </c>
      <c r="T418" s="4" t="str">
        <f t="shared" si="362"/>
        <v>1+2.36247767549952i</v>
      </c>
      <c r="U418" s="4">
        <f t="shared" si="375"/>
        <v>2.5654046010782814</v>
      </c>
      <c r="V418" s="4">
        <f t="shared" si="376"/>
        <v>1.1703796853422608</v>
      </c>
      <c r="W418" t="str">
        <f t="shared" si="363"/>
        <v>1-1.37444678594554i</v>
      </c>
      <c r="X418" s="4">
        <f t="shared" si="377"/>
        <v>1.6997364405683679</v>
      </c>
      <c r="Y418" s="4">
        <f t="shared" si="378"/>
        <v>-0.94180860784685994</v>
      </c>
      <c r="Z418" t="str">
        <f t="shared" si="364"/>
        <v>0.99+0.920037848551297i</v>
      </c>
      <c r="AA418" s="4">
        <f t="shared" si="379"/>
        <v>1.3515064346006271</v>
      </c>
      <c r="AB418" s="4">
        <f t="shared" si="380"/>
        <v>0.74878585846382517</v>
      </c>
      <c r="AC418" s="47" t="str">
        <f t="shared" si="381"/>
        <v>-0.204500515102092-0.362495033080788i</v>
      </c>
      <c r="AD418" s="20">
        <f t="shared" si="382"/>
        <v>-7.6139416925123635</v>
      </c>
      <c r="AE418" s="43">
        <f t="shared" si="383"/>
        <v>-119.42939132088699</v>
      </c>
      <c r="AF418" t="str">
        <f t="shared" si="365"/>
        <v>72.2956529813786</v>
      </c>
      <c r="AG418" t="str">
        <f t="shared" si="366"/>
        <v>1+124.030077963725i</v>
      </c>
      <c r="AH418">
        <f t="shared" si="384"/>
        <v>124.03410917843408</v>
      </c>
      <c r="AI418">
        <f t="shared" si="385"/>
        <v>1.562733941049691</v>
      </c>
      <c r="AJ418" t="str">
        <f t="shared" si="367"/>
        <v>1+2.36247767549952i</v>
      </c>
      <c r="AK418">
        <f t="shared" si="386"/>
        <v>2.5654046010782814</v>
      </c>
      <c r="AL418">
        <f t="shared" si="387"/>
        <v>1.1703796853422608</v>
      </c>
      <c r="AM418" t="str">
        <f t="shared" si="368"/>
        <v>1-0.304183400698021i</v>
      </c>
      <c r="AN418">
        <f t="shared" si="388"/>
        <v>1.0452404227067631</v>
      </c>
      <c r="AO418">
        <f t="shared" si="389"/>
        <v>-0.29529034403988424</v>
      </c>
      <c r="AP418" s="41" t="str">
        <f t="shared" si="390"/>
        <v>1.20775347707019-0.992029297368036i</v>
      </c>
      <c r="AQ418">
        <f t="shared" si="391"/>
        <v>3.8788623804086653</v>
      </c>
      <c r="AR418" s="43">
        <f t="shared" si="392"/>
        <v>-39.399133370483845</v>
      </c>
      <c r="AS418" t="str">
        <f t="shared" si="369"/>
        <v>-0.0000166666666666667</v>
      </c>
      <c r="AT418" t="str">
        <f t="shared" si="370"/>
        <v>0.00213628300444106i</v>
      </c>
      <c r="AU418">
        <f t="shared" si="393"/>
        <v>2.13628300444106E-3</v>
      </c>
      <c r="AV418">
        <f t="shared" si="394"/>
        <v>1.5707963267948966</v>
      </c>
      <c r="AW418" t="str">
        <f t="shared" si="371"/>
        <v>1+2.13443500876248i</v>
      </c>
      <c r="AX418">
        <f t="shared" si="395"/>
        <v>2.3570771745173911</v>
      </c>
      <c r="AY418">
        <f t="shared" si="396"/>
        <v>1.1326581432908669</v>
      </c>
      <c r="AZ418" t="str">
        <f t="shared" si="372"/>
        <v>1+72.5707902979242i</v>
      </c>
      <c r="BA418">
        <f t="shared" si="397"/>
        <v>72.577679795273767</v>
      </c>
      <c r="BB418">
        <f t="shared" si="398"/>
        <v>1.5570175500970242</v>
      </c>
      <c r="BC418" s="41" t="str">
        <f t="shared" si="399"/>
        <v>-0.098909779825092+0.218918209664327i</v>
      </c>
      <c r="BD418">
        <f t="shared" si="400"/>
        <v>-12.387615154644283</v>
      </c>
      <c r="BE418" s="43">
        <f t="shared" si="401"/>
        <v>114.31400300666796</v>
      </c>
      <c r="BF418" s="41" t="str">
        <f t="shared" si="402"/>
        <v>0.0995838645771229-0.00891458273187247i</v>
      </c>
      <c r="BG418" s="20">
        <f t="shared" si="403"/>
        <v>-20.00155684715665</v>
      </c>
      <c r="BH418" s="43">
        <f t="shared" si="404"/>
        <v>-5.1153883142190217</v>
      </c>
      <c r="BI418" s="41" t="str">
        <f t="shared" si="357"/>
        <v>0.0977146472143689+0.362520628298785i</v>
      </c>
      <c r="BJ418" s="20">
        <f t="shared" si="405"/>
        <v>-8.508752774235619</v>
      </c>
      <c r="BK418" s="43">
        <f t="shared" si="358"/>
        <v>74.914869636184136</v>
      </c>
      <c r="BL418">
        <f t="shared" si="406"/>
        <v>-20.00155684715665</v>
      </c>
      <c r="BM418" s="43">
        <f t="shared" si="407"/>
        <v>-5.1153883142190217</v>
      </c>
    </row>
    <row r="419" spans="14:65" x14ac:dyDescent="0.25">
      <c r="N419" s="9">
        <v>1</v>
      </c>
      <c r="O419" s="34">
        <f>10^(5+(N419/100))</f>
        <v>102329.29922807543</v>
      </c>
      <c r="P419" s="33" t="str">
        <f t="shared" si="360"/>
        <v>19.6196196196196</v>
      </c>
      <c r="Q419" s="4" t="str">
        <f t="shared" si="361"/>
        <v>1+155.631540815902i</v>
      </c>
      <c r="R419" s="4">
        <f t="shared" si="373"/>
        <v>155.63475349911977</v>
      </c>
      <c r="S419" s="4">
        <f t="shared" si="374"/>
        <v>1.5643709824653576</v>
      </c>
      <c r="T419" s="4" t="str">
        <f t="shared" si="362"/>
        <v>1+2.41750684975839i</v>
      </c>
      <c r="U419" s="4">
        <f t="shared" si="375"/>
        <v>2.6161688341215164</v>
      </c>
      <c r="V419" s="4">
        <f t="shared" si="376"/>
        <v>1.1785789749267079</v>
      </c>
      <c r="W419" t="str">
        <f t="shared" si="363"/>
        <v>1-1.40646176432087i</v>
      </c>
      <c r="X419" s="4">
        <f t="shared" si="377"/>
        <v>1.7257272943592723</v>
      </c>
      <c r="Y419" s="4">
        <f t="shared" si="378"/>
        <v>-0.95272321433259188</v>
      </c>
      <c r="Z419" t="str">
        <f t="shared" si="364"/>
        <v>0.989528714519491+0.941468283055603i</v>
      </c>
      <c r="AA419" s="4">
        <f t="shared" si="379"/>
        <v>1.3658439167263079</v>
      </c>
      <c r="AB419" s="4">
        <f t="shared" si="380"/>
        <v>0.76051437983969949</v>
      </c>
      <c r="AC419" s="47" t="str">
        <f t="shared" si="381"/>
        <v>-0.210018946192298-0.35990113089955i</v>
      </c>
      <c r="AD419" s="20">
        <f t="shared" si="382"/>
        <v>-7.6035827205618158</v>
      </c>
      <c r="AE419" s="43">
        <f t="shared" si="383"/>
        <v>-120.26553725106312</v>
      </c>
      <c r="AF419" t="str">
        <f t="shared" si="365"/>
        <v>72.2956529813786</v>
      </c>
      <c r="AG419" t="str">
        <f t="shared" si="366"/>
        <v>1+126.919109612315i</v>
      </c>
      <c r="AH419">
        <f t="shared" si="384"/>
        <v>126.92304906825564</v>
      </c>
      <c r="AI419">
        <f t="shared" si="385"/>
        <v>1.5629174556716632</v>
      </c>
      <c r="AJ419" t="str">
        <f t="shared" si="367"/>
        <v>1+2.41750684975839i</v>
      </c>
      <c r="AK419">
        <f t="shared" si="386"/>
        <v>2.6161688341215164</v>
      </c>
      <c r="AL419">
        <f t="shared" si="387"/>
        <v>1.1785789749267079</v>
      </c>
      <c r="AM419" t="str">
        <f t="shared" si="368"/>
        <v>1-0.311268742302413i</v>
      </c>
      <c r="AN419">
        <f t="shared" si="388"/>
        <v>1.0473243193655564</v>
      </c>
      <c r="AO419">
        <f t="shared" si="389"/>
        <v>-0.3017627603086912</v>
      </c>
      <c r="AP419" s="41" t="str">
        <f t="shared" si="390"/>
        <v>1.20754550800062-0.988741378996178i</v>
      </c>
      <c r="AQ419">
        <f t="shared" si="391"/>
        <v>3.8663728788182601</v>
      </c>
      <c r="AR419" s="43">
        <f t="shared" si="392"/>
        <v>-39.310705431061805</v>
      </c>
      <c r="AS419" t="str">
        <f t="shared" si="369"/>
        <v>-0.0000166666666666667</v>
      </c>
      <c r="AT419" t="str">
        <f t="shared" si="370"/>
        <v>0.00218604342797301i</v>
      </c>
      <c r="AU419">
        <f t="shared" si="393"/>
        <v>2.1860434279730098E-3</v>
      </c>
      <c r="AV419">
        <f t="shared" si="394"/>
        <v>1.5707963267948966</v>
      </c>
      <c r="AW419" t="str">
        <f t="shared" si="371"/>
        <v>1+2.18415238694536i</v>
      </c>
      <c r="AX419">
        <f t="shared" si="395"/>
        <v>2.4021910101819786</v>
      </c>
      <c r="AY419">
        <f t="shared" si="396"/>
        <v>1.1414389104189255</v>
      </c>
      <c r="AZ419" t="str">
        <f t="shared" si="372"/>
        <v>1+74.261181156142i</v>
      </c>
      <c r="BA419">
        <f t="shared" si="397"/>
        <v>74.267913843767943</v>
      </c>
      <c r="BB419">
        <f t="shared" si="398"/>
        <v>1.5573311549951585</v>
      </c>
      <c r="BC419" s="41" t="str">
        <f t="shared" si="399"/>
        <v>-0.095229557194454+0.215619988883845i</v>
      </c>
      <c r="BD419">
        <f t="shared" si="400"/>
        <v>-12.552326964316991</v>
      </c>
      <c r="BE419" s="43">
        <f t="shared" si="401"/>
        <v>113.82887034644074</v>
      </c>
      <c r="BF419" s="41" t="str">
        <f t="shared" si="402"/>
        <v>0.0976018890921826-0.0110110575140328i</v>
      </c>
      <c r="BG419" s="20">
        <f t="shared" si="403"/>
        <v>-20.155909684878811</v>
      </c>
      <c r="BH419" s="43">
        <f t="shared" si="404"/>
        <v>-6.4366669046224114</v>
      </c>
      <c r="BI419" s="41" t="str">
        <f t="shared" si="357"/>
        <v>0.0981983811291024+0.35452835271347i</v>
      </c>
      <c r="BJ419" s="20">
        <f t="shared" si="405"/>
        <v>-8.6859540854987429</v>
      </c>
      <c r="BK419" s="43">
        <f t="shared" si="358"/>
        <v>74.518164915378932</v>
      </c>
      <c r="BL419">
        <f t="shared" si="406"/>
        <v>-20.155909684878811</v>
      </c>
      <c r="BM419" s="43">
        <f t="shared" si="407"/>
        <v>-6.4366669046224114</v>
      </c>
    </row>
    <row r="420" spans="14:65" x14ac:dyDescent="0.25">
      <c r="N420" s="9">
        <v>2</v>
      </c>
      <c r="O420" s="34">
        <f t="shared" ref="O420:O483" si="408">10^(5+(N420/100))</f>
        <v>104712.85480508996</v>
      </c>
      <c r="P420" s="33" t="str">
        <f t="shared" si="360"/>
        <v>19.6196196196196</v>
      </c>
      <c r="Q420" s="4" t="str">
        <f t="shared" si="361"/>
        <v>1+159.256665094769i</v>
      </c>
      <c r="R420" s="4">
        <f t="shared" si="373"/>
        <v>159.25980464984698</v>
      </c>
      <c r="S420" s="4">
        <f t="shared" si="374"/>
        <v>1.5645172372695155</v>
      </c>
      <c r="T420" s="4" t="str">
        <f t="shared" si="362"/>
        <v>1+2.47381781814848i</v>
      </c>
      <c r="U420" s="4">
        <f t="shared" si="375"/>
        <v>2.6682905758910342</v>
      </c>
      <c r="V420" s="4">
        <f t="shared" si="376"/>
        <v>1.1866457289830461</v>
      </c>
      <c r="W420" t="str">
        <f t="shared" si="363"/>
        <v>1-1.43922246734037i</v>
      </c>
      <c r="X420" s="4">
        <f t="shared" si="377"/>
        <v>1.7525299742079454</v>
      </c>
      <c r="Y420" s="4">
        <f t="shared" si="378"/>
        <v>-0.96355559924483425</v>
      </c>
      <c r="Z420" t="str">
        <f t="shared" si="364"/>
        <v>0.989035218038568+0.963397896505393i</v>
      </c>
      <c r="AA420" s="4">
        <f t="shared" si="379"/>
        <v>1.3806977111271002</v>
      </c>
      <c r="AB420" s="4">
        <f t="shared" si="380"/>
        <v>0.77226795780207158</v>
      </c>
      <c r="AC420" s="47" t="str">
        <f t="shared" si="381"/>
        <v>-0.215553796684416-0.357245752233111i</v>
      </c>
      <c r="AD420" s="20">
        <f t="shared" si="382"/>
        <v>-7.592312469934738</v>
      </c>
      <c r="AE420" s="43">
        <f t="shared" si="383"/>
        <v>-121.10580642123139</v>
      </c>
      <c r="AF420" t="str">
        <f t="shared" si="365"/>
        <v>72.2956529813786</v>
      </c>
      <c r="AG420" t="str">
        <f t="shared" si="366"/>
        <v>1+129.875435452795i</v>
      </c>
      <c r="AH420">
        <f t="shared" si="384"/>
        <v>129.87928523845949</v>
      </c>
      <c r="AI420">
        <f t="shared" si="385"/>
        <v>1.5630967935036475</v>
      </c>
      <c r="AJ420" t="str">
        <f t="shared" si="367"/>
        <v>1+2.47381781814848i</v>
      </c>
      <c r="AK420">
        <f t="shared" si="386"/>
        <v>2.6682905758910342</v>
      </c>
      <c r="AL420">
        <f t="shared" si="387"/>
        <v>1.1866457289830461</v>
      </c>
      <c r="AM420" t="str">
        <f t="shared" si="368"/>
        <v>1-0.318519122714104i</v>
      </c>
      <c r="AN420">
        <f t="shared" si="388"/>
        <v>1.0495019921536892</v>
      </c>
      <c r="AO420">
        <f t="shared" si="389"/>
        <v>-0.30835904646391699</v>
      </c>
      <c r="AP420" s="41" t="str">
        <f t="shared" si="390"/>
        <v>1.20734689794513-0.98597755686276i</v>
      </c>
      <c r="AQ420">
        <f t="shared" si="391"/>
        <v>3.8557736875068582</v>
      </c>
      <c r="AR420" s="43">
        <f t="shared" si="392"/>
        <v>-39.236729127298275</v>
      </c>
      <c r="AS420" t="str">
        <f t="shared" si="369"/>
        <v>-0.0000166666666666667</v>
      </c>
      <c r="AT420" t="str">
        <f t="shared" si="370"/>
        <v>0.00223696292066618i</v>
      </c>
      <c r="AU420">
        <f t="shared" si="393"/>
        <v>2.2369629206661799E-3</v>
      </c>
      <c r="AV420">
        <f t="shared" si="394"/>
        <v>1.5707963267948966</v>
      </c>
      <c r="AW420" t="str">
        <f t="shared" si="371"/>
        <v>1+2.23502783163447i</v>
      </c>
      <c r="AX420">
        <f t="shared" si="395"/>
        <v>2.4485402606820008</v>
      </c>
      <c r="AY420">
        <f t="shared" si="396"/>
        <v>1.1500885666421241</v>
      </c>
      <c r="AZ420" t="str">
        <f t="shared" si="372"/>
        <v>1+75.9909462755717i</v>
      </c>
      <c r="BA420">
        <f t="shared" si="397"/>
        <v>75.997525721939297</v>
      </c>
      <c r="BB420">
        <f t="shared" si="398"/>
        <v>1.5576376239337175</v>
      </c>
      <c r="BC420" s="41" t="str">
        <f t="shared" si="399"/>
        <v>-0.0916584145543645+0.212309685507074i</v>
      </c>
      <c r="BD420">
        <f t="shared" si="400"/>
        <v>-12.718356642993449</v>
      </c>
      <c r="BE420" s="43">
        <f t="shared" si="401"/>
        <v>113.35084092734371</v>
      </c>
      <c r="BF420" s="41" t="str">
        <f t="shared" si="402"/>
        <v>0.0956040525606173-0.0130195795279558i</v>
      </c>
      <c r="BG420" s="20">
        <f t="shared" si="403"/>
        <v>-20.310669112928185</v>
      </c>
      <c r="BH420" s="43">
        <f t="shared" si="404"/>
        <v>-7.7549654938876333</v>
      </c>
      <c r="BI420" s="41" t="str">
        <f t="shared" si="357"/>
        <v>0.098669082531785+0.346704579848898i</v>
      </c>
      <c r="BJ420" s="20">
        <f t="shared" si="405"/>
        <v>-8.8625829554865945</v>
      </c>
      <c r="BK420" s="43">
        <f t="shared" si="358"/>
        <v>74.11411180004545</v>
      </c>
      <c r="BL420">
        <f t="shared" si="406"/>
        <v>-20.310669112928185</v>
      </c>
      <c r="BM420" s="43">
        <f t="shared" si="407"/>
        <v>-7.7549654938876333</v>
      </c>
    </row>
    <row r="421" spans="14:65" x14ac:dyDescent="0.25">
      <c r="N421" s="9">
        <v>3</v>
      </c>
      <c r="O421" s="34">
        <f t="shared" si="408"/>
        <v>107151.93052376082</v>
      </c>
      <c r="P421" s="33" t="str">
        <f t="shared" si="360"/>
        <v>19.6196196196196</v>
      </c>
      <c r="Q421" s="4" t="str">
        <f t="shared" si="361"/>
        <v>1+162.96622936548i</v>
      </c>
      <c r="R421" s="4">
        <f t="shared" si="373"/>
        <v>162.96929745692049</v>
      </c>
      <c r="S421" s="4">
        <f t="shared" si="374"/>
        <v>1.5646601631674548</v>
      </c>
      <c r="T421" s="4" t="str">
        <f t="shared" si="362"/>
        <v>1+2.53144043749061i</v>
      </c>
      <c r="U421" s="4">
        <f t="shared" si="375"/>
        <v>2.7217991638919008</v>
      </c>
      <c r="V421" s="4">
        <f t="shared" si="376"/>
        <v>1.1945800241734106</v>
      </c>
      <c r="W421" t="str">
        <f t="shared" si="363"/>
        <v>1-1.47274626516242i</v>
      </c>
      <c r="X421" s="4">
        <f t="shared" si="377"/>
        <v>1.780163352490399</v>
      </c>
      <c r="Y421" s="4">
        <f t="shared" si="378"/>
        <v>-0.97430133755790216</v>
      </c>
      <c r="Z421" t="str">
        <f t="shared" si="364"/>
        <v>0.988518463785031+0.985838316271989i</v>
      </c>
      <c r="AA421" s="4">
        <f t="shared" si="379"/>
        <v>1.396082353972683</v>
      </c>
      <c r="AB421" s="4">
        <f t="shared" si="380"/>
        <v>0.78404068541077609</v>
      </c>
      <c r="AC421" s="47" t="str">
        <f t="shared" si="381"/>
        <v>-0.221099371892973-0.354526430249179i</v>
      </c>
      <c r="AD421" s="20">
        <f t="shared" si="382"/>
        <v>-7.5802063107032334</v>
      </c>
      <c r="AE421" s="43">
        <f t="shared" si="383"/>
        <v>-121.94960690257432</v>
      </c>
      <c r="AF421" t="str">
        <f t="shared" si="365"/>
        <v>72.2956529813786</v>
      </c>
      <c r="AG421" t="str">
        <f t="shared" si="366"/>
        <v>1+132.900622968257i</v>
      </c>
      <c r="AH421">
        <f t="shared" si="384"/>
        <v>132.90438512461057</v>
      </c>
      <c r="AI421">
        <f t="shared" si="385"/>
        <v>1.5632720495867671</v>
      </c>
      <c r="AJ421" t="str">
        <f t="shared" si="367"/>
        <v>1+2.53144043749061i</v>
      </c>
      <c r="AK421">
        <f t="shared" si="386"/>
        <v>2.7217991638919008</v>
      </c>
      <c r="AL421">
        <f t="shared" si="387"/>
        <v>1.1945800241734106</v>
      </c>
      <c r="AM421" t="str">
        <f t="shared" si="368"/>
        <v>1-0.325938386180756i</v>
      </c>
      <c r="AN421">
        <f t="shared" si="388"/>
        <v>1.0517774629578804</v>
      </c>
      <c r="AO421">
        <f t="shared" si="389"/>
        <v>-0.31508040303697282</v>
      </c>
      <c r="AP421" s="41" t="str">
        <f t="shared" si="390"/>
        <v>1.20715722577864-0.983736375398429i</v>
      </c>
      <c r="AQ421">
        <f t="shared" si="391"/>
        <v>3.8470562230361445</v>
      </c>
      <c r="AR421" s="43">
        <f t="shared" si="392"/>
        <v>-39.177274297615028</v>
      </c>
      <c r="AS421" t="str">
        <f t="shared" si="369"/>
        <v>-0.0000166666666666667</v>
      </c>
      <c r="AT421" t="str">
        <f t="shared" si="370"/>
        <v>0.00228906848070959i</v>
      </c>
      <c r="AU421">
        <f t="shared" si="393"/>
        <v>2.2890684807095902E-3</v>
      </c>
      <c r="AV421">
        <f t="shared" si="394"/>
        <v>1.5707963267948966</v>
      </c>
      <c r="AW421" t="str">
        <f t="shared" si="371"/>
        <v>1+2.287088317664i</v>
      </c>
      <c r="AX421">
        <f t="shared" si="395"/>
        <v>2.4961516325726576</v>
      </c>
      <c r="AY421">
        <f t="shared" si="396"/>
        <v>1.1586065199863866</v>
      </c>
      <c r="AZ421" t="str">
        <f t="shared" si="372"/>
        <v>1+77.7610028005759i</v>
      </c>
      <c r="BA421">
        <f t="shared" si="397"/>
        <v>77.767432492986231</v>
      </c>
      <c r="BB421">
        <f t="shared" si="398"/>
        <v>1.5579371191761806</v>
      </c>
      <c r="BC421" s="41" t="str">
        <f t="shared" si="399"/>
        <v>-0.0881951924508609+0.208991176442884i</v>
      </c>
      <c r="BD421">
        <f t="shared" si="400"/>
        <v>-12.885664772160172</v>
      </c>
      <c r="BE421" s="43">
        <f t="shared" si="401"/>
        <v>112.87995796400557</v>
      </c>
      <c r="BF421" s="41" t="str">
        <f t="shared" si="402"/>
        <v>0.0935927973927372-0.0149402910979521i</v>
      </c>
      <c r="BG421" s="20">
        <f t="shared" si="403"/>
        <v>-20.465871082863405</v>
      </c>
      <c r="BH421" s="43">
        <f t="shared" si="404"/>
        <v>-9.0696489385687471</v>
      </c>
      <c r="BI421" s="41" t="str">
        <f t="shared" si="357"/>
        <v>0.0991267585581817+0.339046027716183i</v>
      </c>
      <c r="BJ421" s="20">
        <f t="shared" si="405"/>
        <v>-9.038608549124028</v>
      </c>
      <c r="BK421" s="43">
        <f t="shared" si="358"/>
        <v>73.702683666390556</v>
      </c>
      <c r="BL421">
        <f t="shared" si="406"/>
        <v>-20.465871082863405</v>
      </c>
      <c r="BM421" s="43">
        <f t="shared" si="407"/>
        <v>-9.0696489385687471</v>
      </c>
    </row>
    <row r="422" spans="14:65" x14ac:dyDescent="0.25">
      <c r="N422" s="9">
        <v>4</v>
      </c>
      <c r="O422" s="34">
        <f t="shared" si="408"/>
        <v>109647.81961431868</v>
      </c>
      <c r="P422" s="33" t="str">
        <f t="shared" si="360"/>
        <v>19.6196196196196</v>
      </c>
      <c r="Q422" s="4" t="str">
        <f t="shared" si="361"/>
        <v>1+166.762200488114i</v>
      </c>
      <c r="R422" s="4">
        <f t="shared" si="373"/>
        <v>166.76519874253717</v>
      </c>
      <c r="S422" s="4">
        <f t="shared" si="374"/>
        <v>1.5647998359170077</v>
      </c>
      <c r="T422" s="4" t="str">
        <f t="shared" si="362"/>
        <v>1+2.59040526006026i</v>
      </c>
      <c r="U422" s="4">
        <f t="shared" si="375"/>
        <v>2.7767245832721446</v>
      </c>
      <c r="V422" s="4">
        <f t="shared" si="376"/>
        <v>1.2023820704249453</v>
      </c>
      <c r="W422" t="str">
        <f t="shared" si="363"/>
        <v>1-1.50705093254836i</v>
      </c>
      <c r="X422" s="4">
        <f t="shared" si="377"/>
        <v>1.8086465971258403</v>
      </c>
      <c r="Y422" s="4">
        <f t="shared" si="378"/>
        <v>-0.98495620027443631</v>
      </c>
      <c r="Z422" t="str">
        <f t="shared" si="364"/>
        <v>0.987977355653826+1.00880144056298i</v>
      </c>
      <c r="AA422" s="4">
        <f t="shared" si="379"/>
        <v>1.4120126068016072</v>
      </c>
      <c r="AB422" s="4">
        <f t="shared" si="380"/>
        <v>0.79582662450220998</v>
      </c>
      <c r="AC422" s="47" t="str">
        <f t="shared" si="381"/>
        <v>-0.22664992062896-0.351741062842322i</v>
      </c>
      <c r="AD422" s="20">
        <f t="shared" si="382"/>
        <v>-7.5673379121780302</v>
      </c>
      <c r="AE422" s="43">
        <f t="shared" si="383"/>
        <v>-122.79634847234378</v>
      </c>
      <c r="AF422" t="str">
        <f t="shared" si="365"/>
        <v>72.2956529813786</v>
      </c>
      <c r="AG422" t="str">
        <f t="shared" si="366"/>
        <v>1+135.996276153164i</v>
      </c>
      <c r="AH422">
        <f t="shared" si="384"/>
        <v>135.99995267472573</v>
      </c>
      <c r="AI422">
        <f t="shared" si="385"/>
        <v>1.5634433168010287</v>
      </c>
      <c r="AJ422" t="str">
        <f t="shared" si="367"/>
        <v>1+2.59040526006026i</v>
      </c>
      <c r="AK422">
        <f t="shared" si="386"/>
        <v>2.7767245832721446</v>
      </c>
      <c r="AL422">
        <f t="shared" si="387"/>
        <v>1.2023820704249453</v>
      </c>
      <c r="AM422" t="str">
        <f t="shared" si="368"/>
        <v>1-0.333530466494066i</v>
      </c>
      <c r="AN422">
        <f t="shared" si="388"/>
        <v>1.0541549089577629</v>
      </c>
      <c r="AO422">
        <f t="shared" si="389"/>
        <v>-0.32192796374746036</v>
      </c>
      <c r="AP422" s="41" t="str">
        <f t="shared" si="390"/>
        <v>1.20697608932104-0.982016655487789i</v>
      </c>
      <c r="AQ422">
        <f t="shared" si="391"/>
        <v>3.8402133635568076</v>
      </c>
      <c r="AR422" s="43">
        <f t="shared" si="392"/>
        <v>-39.132399193052798</v>
      </c>
      <c r="AS422" t="str">
        <f t="shared" si="369"/>
        <v>-0.0000166666666666667</v>
      </c>
      <c r="AT422" t="str">
        <f t="shared" si="370"/>
        <v>0.00234238773516088i</v>
      </c>
      <c r="AU422">
        <f t="shared" si="393"/>
        <v>2.3423877351608801E-3</v>
      </c>
      <c r="AV422">
        <f t="shared" si="394"/>
        <v>1.5707963267948966</v>
      </c>
      <c r="AW422" t="str">
        <f t="shared" si="371"/>
        <v>1+2.34036144819275i</v>
      </c>
      <c r="AX422">
        <f t="shared" si="395"/>
        <v>2.5450523979256041</v>
      </c>
      <c r="AY422">
        <f t="shared" si="396"/>
        <v>1.1669923415405556</v>
      </c>
      <c r="AZ422" t="str">
        <f t="shared" si="372"/>
        <v>1+79.5722892385534i</v>
      </c>
      <c r="BA422">
        <f t="shared" si="397"/>
        <v>79.57857258498673</v>
      </c>
      <c r="BB422">
        <f t="shared" si="398"/>
        <v>1.5582297993038547</v>
      </c>
      <c r="BC422" s="41" t="str">
        <f t="shared" si="399"/>
        <v>-0.0848385785618899+0.205668185313017i</v>
      </c>
      <c r="BD422">
        <f t="shared" si="400"/>
        <v>-13.054212380135716</v>
      </c>
      <c r="BE422" s="43">
        <f t="shared" si="401"/>
        <v>112.41625511726485</v>
      </c>
      <c r="BF422" s="41" t="str">
        <f t="shared" si="402"/>
        <v>0.0915706031921784-0.0167734660837066i</v>
      </c>
      <c r="BG422" s="20">
        <f t="shared" si="403"/>
        <v>-20.621550292313749</v>
      </c>
      <c r="BH422" s="43">
        <f t="shared" si="404"/>
        <v>-10.380093355078948</v>
      </c>
      <c r="BI422" s="41" t="str">
        <f t="shared" si="357"/>
        <v>0.0995714477051461+0.331549479182545i</v>
      </c>
      <c r="BJ422" s="20">
        <f t="shared" si="405"/>
        <v>-9.2139990165789207</v>
      </c>
      <c r="BK422" s="43">
        <f t="shared" si="358"/>
        <v>73.283855924212034</v>
      </c>
      <c r="BL422">
        <f t="shared" si="406"/>
        <v>-20.621550292313749</v>
      </c>
      <c r="BM422" s="43">
        <f t="shared" si="407"/>
        <v>-10.380093355078948</v>
      </c>
    </row>
    <row r="423" spans="14:65" x14ac:dyDescent="0.25">
      <c r="N423" s="9">
        <v>5</v>
      </c>
      <c r="O423" s="34">
        <f t="shared" si="408"/>
        <v>112201.84543019651</v>
      </c>
      <c r="P423" s="33" t="str">
        <f t="shared" si="360"/>
        <v>19.6196196196196</v>
      </c>
      <c r="Q423" s="4" t="str">
        <f t="shared" si="361"/>
        <v>1+170.646591136805i</v>
      </c>
      <c r="R423" s="4">
        <f t="shared" si="373"/>
        <v>170.64952114381072</v>
      </c>
      <c r="S423" s="4">
        <f t="shared" si="374"/>
        <v>1.5649363295527041</v>
      </c>
      <c r="T423" s="4" t="str">
        <f t="shared" si="362"/>
        <v>1+2.65074354978687i</v>
      </c>
      <c r="U423" s="4">
        <f t="shared" si="375"/>
        <v>2.8330974862748186</v>
      </c>
      <c r="V423" s="4">
        <f t="shared" si="376"/>
        <v>1.2100522040555119</v>
      </c>
      <c r="W423" t="str">
        <f t="shared" si="363"/>
        <v>1-1.54215465828691i</v>
      </c>
      <c r="X423" s="4">
        <f t="shared" si="377"/>
        <v>1.8379991811956868</v>
      </c>
      <c r="Y423" s="4">
        <f t="shared" si="378"/>
        <v>-0.99551615983867969</v>
      </c>
      <c r="Z423" t="str">
        <f t="shared" si="364"/>
        <v>0.987410745882058+1.03229944473083i</v>
      </c>
      <c r="AA423" s="4">
        <f t="shared" si="379"/>
        <v>1.428503456304864</v>
      </c>
      <c r="AB423" s="4">
        <f t="shared" si="380"/>
        <v>0.80761982178331304</v>
      </c>
      <c r="AC423" s="47" t="str">
        <f t="shared" si="381"/>
        <v>-0.232199659831946-0.348887915370625i</v>
      </c>
      <c r="AD423" s="20">
        <f t="shared" si="382"/>
        <v>-7.5537790798775797</v>
      </c>
      <c r="AE423" s="43">
        <f t="shared" si="383"/>
        <v>-123.64544424229908</v>
      </c>
      <c r="AF423" t="str">
        <f t="shared" si="365"/>
        <v>72.2956529813786</v>
      </c>
      <c r="AG423" t="str">
        <f t="shared" si="366"/>
        <v>1+139.164036363811i</v>
      </c>
      <c r="AH423">
        <f t="shared" si="384"/>
        <v>139.16762919971046</v>
      </c>
      <c r="AI423">
        <f t="shared" si="385"/>
        <v>1.5636106859143635</v>
      </c>
      <c r="AJ423" t="str">
        <f t="shared" si="367"/>
        <v>1+2.65074354978687i</v>
      </c>
      <c r="AK423">
        <f t="shared" si="386"/>
        <v>2.8330974862748186</v>
      </c>
      <c r="AL423">
        <f t="shared" si="387"/>
        <v>1.2100522040555119</v>
      </c>
      <c r="AM423" t="str">
        <f t="shared" si="368"/>
        <v>1-0.341299389075509i</v>
      </c>
      <c r="AN423">
        <f t="shared" si="388"/>
        <v>1.0566386671816037</v>
      </c>
      <c r="AO423">
        <f t="shared" si="389"/>
        <v>-0.32890278978264331</v>
      </c>
      <c r="AP423" s="41" t="str">
        <f t="shared" si="390"/>
        <v>1.20680310448527-0.98081749388808i</v>
      </c>
      <c r="AQ423">
        <f t="shared" si="391"/>
        <v>3.8352394803352157</v>
      </c>
      <c r="AR423" s="43">
        <f t="shared" si="392"/>
        <v>-39.102150546188852</v>
      </c>
      <c r="AS423" t="str">
        <f t="shared" si="369"/>
        <v>-0.0000166666666666667</v>
      </c>
      <c r="AT423" t="str">
        <f t="shared" si="370"/>
        <v>0.00239694895459452i</v>
      </c>
      <c r="AU423">
        <f t="shared" si="393"/>
        <v>2.3969489545945201E-3</v>
      </c>
      <c r="AV423">
        <f t="shared" si="394"/>
        <v>1.5707963267948966</v>
      </c>
      <c r="AW423" t="str">
        <f t="shared" si="371"/>
        <v>1+2.39487546933968i</v>
      </c>
      <c r="AX423">
        <f t="shared" si="395"/>
        <v>2.5952704124319976</v>
      </c>
      <c r="AY423">
        <f t="shared" si="396"/>
        <v>1.175245758865419</v>
      </c>
      <c r="AZ423" t="str">
        <f t="shared" si="372"/>
        <v>1+81.425765957549i</v>
      </c>
      <c r="BA423">
        <f t="shared" si="397"/>
        <v>81.431906288466223</v>
      </c>
      <c r="BB423">
        <f t="shared" si="398"/>
        <v>1.5585158192989306</v>
      </c>
      <c r="BC423" s="41" t="str">
        <f t="shared" si="399"/>
        <v>-0.0815871210480572+0.202344278750239i</v>
      </c>
      <c r="BD423">
        <f t="shared" si="400"/>
        <v>-13.223960995422816</v>
      </c>
      <c r="BE423" s="43">
        <f t="shared" si="401"/>
        <v>111.95975687656421</v>
      </c>
      <c r="BF423" s="41" t="str">
        <f t="shared" si="402"/>
        <v>0.0895399753543702-0.0185195121111984i</v>
      </c>
      <c r="BG423" s="20">
        <f t="shared" si="403"/>
        <v>-20.7777400753004</v>
      </c>
      <c r="BH423" s="43">
        <f t="shared" si="404"/>
        <v>-11.685687365734859</v>
      </c>
      <c r="BI423" s="41" t="str">
        <f t="shared" si="357"/>
        <v>0.10000321741959+0.32421177937052i</v>
      </c>
      <c r="BJ423" s="20">
        <f t="shared" si="405"/>
        <v>-9.3887215150876013</v>
      </c>
      <c r="BK423" s="43">
        <f t="shared" si="358"/>
        <v>72.85760633037529</v>
      </c>
      <c r="BL423">
        <f t="shared" si="406"/>
        <v>-20.7777400753004</v>
      </c>
      <c r="BM423" s="43">
        <f t="shared" si="407"/>
        <v>-11.685687365734859</v>
      </c>
    </row>
    <row r="424" spans="14:65" x14ac:dyDescent="0.25">
      <c r="N424" s="9">
        <v>6</v>
      </c>
      <c r="O424" s="34">
        <f t="shared" si="408"/>
        <v>114815.36214968823</v>
      </c>
      <c r="P424" s="33" t="str">
        <f t="shared" si="360"/>
        <v>19.6196196196196</v>
      </c>
      <c r="Q424" s="4" t="str">
        <f t="shared" si="361"/>
        <v>1+174.621460866892i</v>
      </c>
      <c r="R424" s="4">
        <f t="shared" si="373"/>
        <v>174.62432417990198</v>
      </c>
      <c r="S424" s="4">
        <f t="shared" si="374"/>
        <v>1.5650697164249208</v>
      </c>
      <c r="T424" s="4" t="str">
        <f t="shared" si="362"/>
        <v>1+2.71248729883031i</v>
      </c>
      <c r="U424" s="4">
        <f t="shared" si="375"/>
        <v>2.8909492119917553</v>
      </c>
      <c r="V424" s="4">
        <f t="shared" si="376"/>
        <v>1.2175908809301124</v>
      </c>
      <c r="W424" t="str">
        <f t="shared" si="363"/>
        <v>1-1.57807605483812i</v>
      </c>
      <c r="X424" s="4">
        <f t="shared" si="377"/>
        <v>1.8682408931541576</v>
      </c>
      <c r="Y424" s="4">
        <f t="shared" si="378"/>
        <v>-1.0059773945622257</v>
      </c>
      <c r="Z424" t="str">
        <f t="shared" si="364"/>
        <v>0.986817432614436+1.05634478772837i</v>
      </c>
      <c r="AA424" s="4">
        <f t="shared" si="379"/>
        <v>1.4455701144782436</v>
      </c>
      <c r="AB424" s="4">
        <f t="shared" si="380"/>
        <v>0.8194143250460546</v>
      </c>
      <c r="AC424" s="47" t="str">
        <f t="shared" si="381"/>
        <v>-0.237742799448286-0.345965621252414i</v>
      </c>
      <c r="AD424" s="20">
        <f t="shared" si="382"/>
        <v>-7.5395996059017989</v>
      </c>
      <c r="AE424" s="43">
        <f t="shared" si="383"/>
        <v>-124.49631223565527</v>
      </c>
      <c r="AF424" t="str">
        <f t="shared" si="365"/>
        <v>72.2956529813786</v>
      </c>
      <c r="AG424" t="str">
        <f t="shared" si="366"/>
        <v>1+142.405583188591i</v>
      </c>
      <c r="AH424">
        <f t="shared" si="384"/>
        <v>142.40909424360061</v>
      </c>
      <c r="AI424">
        <f t="shared" si="385"/>
        <v>1.5637742456305621</v>
      </c>
      <c r="AJ424" t="str">
        <f t="shared" si="367"/>
        <v>1+2.71248729883031i</v>
      </c>
      <c r="AK424">
        <f t="shared" si="386"/>
        <v>2.8909492119917553</v>
      </c>
      <c r="AL424">
        <f t="shared" si="387"/>
        <v>1.2175908809301124</v>
      </c>
      <c r="AM424" t="str">
        <f t="shared" si="368"/>
        <v>1-0.34924927311067i</v>
      </c>
      <c r="AN424">
        <f t="shared" si="388"/>
        <v>1.0592332390783115</v>
      </c>
      <c r="AO424">
        <f t="shared" si="389"/>
        <v>-0.33600586388707937</v>
      </c>
      <c r="AP424" s="41" t="str">
        <f t="shared" si="390"/>
        <v>1.20663790446373-0.980138262791165i</v>
      </c>
      <c r="AQ424">
        <f t="shared" si="391"/>
        <v>3.8321304625695483</v>
      </c>
      <c r="AR424" s="43">
        <f t="shared" si="392"/>
        <v>-39.086563627350785</v>
      </c>
      <c r="AS424" t="str">
        <f t="shared" si="369"/>
        <v>-0.0000166666666666667</v>
      </c>
      <c r="AT424" t="str">
        <f t="shared" si="370"/>
        <v>0.00245278106809124i</v>
      </c>
      <c r="AU424">
        <f t="shared" si="393"/>
        <v>2.4527810680912399E-3</v>
      </c>
      <c r="AV424">
        <f t="shared" si="394"/>
        <v>1.5707963267948966</v>
      </c>
      <c r="AW424" t="str">
        <f t="shared" si="371"/>
        <v>1+2.45065928516037i</v>
      </c>
      <c r="AX424">
        <f t="shared" si="395"/>
        <v>2.6468341338177459</v>
      </c>
      <c r="AY424">
        <f t="shared" si="396"/>
        <v>1.1833666492713666</v>
      </c>
      <c r="AZ424" t="str">
        <f t="shared" si="372"/>
        <v>1+83.3224156954524i</v>
      </c>
      <c r="BA424">
        <f t="shared" si="397"/>
        <v>83.328416265555973</v>
      </c>
      <c r="BB424">
        <f t="shared" si="398"/>
        <v>1.5587953306256996</v>
      </c>
      <c r="BC424" s="41" t="str">
        <f t="shared" si="399"/>
        <v>-0.0784392416425422+0.199022863724517i</v>
      </c>
      <c r="BD424">
        <f t="shared" si="400"/>
        <v>-13.394872695239677</v>
      </c>
      <c r="BE424" s="43">
        <f t="shared" si="401"/>
        <v>111.5104789497651</v>
      </c>
      <c r="BF424" s="41" t="str">
        <f t="shared" si="402"/>
        <v>0.0875034335865856-0.0201789718106511i</v>
      </c>
      <c r="BG424" s="20">
        <f t="shared" si="403"/>
        <v>-20.934472301141472</v>
      </c>
      <c r="BH424" s="43">
        <f t="shared" si="404"/>
        <v>-12.985833285890186</v>
      </c>
      <c r="BI424" s="41" t="str">
        <f t="shared" si="357"/>
        <v>0.10042216174339+0.317029833263099i</v>
      </c>
      <c r="BJ424" s="20">
        <f t="shared" si="405"/>
        <v>-9.5627422326701357</v>
      </c>
      <c r="BK424" s="43">
        <f t="shared" si="358"/>
        <v>72.423915322414231</v>
      </c>
      <c r="BL424">
        <f t="shared" si="406"/>
        <v>-20.934472301141472</v>
      </c>
      <c r="BM424" s="43">
        <f t="shared" si="407"/>
        <v>-12.985833285890186</v>
      </c>
    </row>
    <row r="425" spans="14:65" x14ac:dyDescent="0.25">
      <c r="N425" s="9">
        <v>7</v>
      </c>
      <c r="O425" s="34">
        <f t="shared" si="408"/>
        <v>117489.75549395311</v>
      </c>
      <c r="P425" s="33" t="str">
        <f t="shared" si="360"/>
        <v>19.6196196196196</v>
      </c>
      <c r="Q425" s="4" t="str">
        <f t="shared" si="361"/>
        <v>1+178.688917206918i</v>
      </c>
      <c r="R425" s="4">
        <f t="shared" si="373"/>
        <v>178.69171534399908</v>
      </c>
      <c r="S425" s="4">
        <f t="shared" si="374"/>
        <v>1.5652000672381465</v>
      </c>
      <c r="T425" s="4" t="str">
        <f t="shared" si="362"/>
        <v>1+2.77566924454361i</v>
      </c>
      <c r="U425" s="4">
        <f t="shared" si="375"/>
        <v>2.9503118064206868</v>
      </c>
      <c r="V425" s="4">
        <f t="shared" si="376"/>
        <v>1.2249986696769575</v>
      </c>
      <c r="W425" t="str">
        <f t="shared" si="363"/>
        <v>1-1.61483416820191i</v>
      </c>
      <c r="X425" s="4">
        <f t="shared" si="377"/>
        <v>1.8993918476165876</v>
      </c>
      <c r="Y425" s="4">
        <f t="shared" si="378"/>
        <v>-1.0163362920762371</v>
      </c>
      <c r="Z425" t="str">
        <f t="shared" si="364"/>
        <v>0.986196157353971+1.08095021871474i</v>
      </c>
      <c r="AA425" s="4">
        <f t="shared" si="379"/>
        <v>1.4632280191819669</v>
      </c>
      <c r="AB425" s="4">
        <f t="shared" si="380"/>
        <v>0.83120419939850143</v>
      </c>
      <c r="AC425" s="47" t="str">
        <f t="shared" si="381"/>
        <v>-0.243273567333619-0.342973180405913i</v>
      </c>
      <c r="AD425" s="20">
        <f t="shared" si="382"/>
        <v>-7.5248671333057136</v>
      </c>
      <c r="AE425" s="43">
        <f t="shared" si="383"/>
        <v>-125.34837690573677</v>
      </c>
      <c r="AF425" t="str">
        <f t="shared" si="365"/>
        <v>72.2956529813786</v>
      </c>
      <c r="AG425" t="str">
        <f t="shared" si="366"/>
        <v>1+145.72263533854i</v>
      </c>
      <c r="AH425">
        <f t="shared" si="384"/>
        <v>145.72606647408384</v>
      </c>
      <c r="AI425">
        <f t="shared" si="385"/>
        <v>1.563934082636127</v>
      </c>
      <c r="AJ425" t="str">
        <f t="shared" si="367"/>
        <v>1+2.77566924454361i</v>
      </c>
      <c r="AK425">
        <f t="shared" si="386"/>
        <v>2.9503118064206868</v>
      </c>
      <c r="AL425">
        <f t="shared" si="387"/>
        <v>1.2249986696769575</v>
      </c>
      <c r="AM425" t="str">
        <f t="shared" si="368"/>
        <v>1-0.357384333733296i</v>
      </c>
      <c r="AN425">
        <f t="shared" si="388"/>
        <v>1.0619432950953605</v>
      </c>
      <c r="AO425">
        <f t="shared" si="389"/>
        <v>-0.34323808427252078</v>
      </c>
      <c r="AP425" s="41" t="str">
        <f t="shared" si="390"/>
        <v>1.20648013895119-0.979978609528834i</v>
      </c>
      <c r="AQ425">
        <f t="shared" si="391"/>
        <v>3.8308837354767289</v>
      </c>
      <c r="AR425" s="43">
        <f t="shared" si="392"/>
        <v>-39.085662287055158</v>
      </c>
      <c r="AS425" t="str">
        <f t="shared" si="369"/>
        <v>-0.0000166666666666667</v>
      </c>
      <c r="AT425" t="str">
        <f t="shared" si="370"/>
        <v>0.00250991367857668i</v>
      </c>
      <c r="AU425">
        <f t="shared" si="393"/>
        <v>2.50991367857668E-3</v>
      </c>
      <c r="AV425">
        <f t="shared" si="394"/>
        <v>1.5707963267948966</v>
      </c>
      <c r="AW425" t="str">
        <f t="shared" si="371"/>
        <v>1+2.50774247297237i</v>
      </c>
      <c r="AX425">
        <f t="shared" si="395"/>
        <v>2.6997726405661604</v>
      </c>
      <c r="AY425">
        <f t="shared" si="396"/>
        <v>1.1913550330063327</v>
      </c>
      <c r="AZ425" t="str">
        <f t="shared" si="372"/>
        <v>1+85.2632440810606i</v>
      </c>
      <c r="BA425">
        <f t="shared" si="397"/>
        <v>85.269108071015467</v>
      </c>
      <c r="BB425">
        <f t="shared" si="398"/>
        <v>1.5590684813099689</v>
      </c>
      <c r="BC425" s="41" t="str">
        <f t="shared" si="399"/>
        <v>-0.075393248413432+0.195707185831202i</v>
      </c>
      <c r="BD425">
        <f t="shared" si="400"/>
        <v>-13.56691014933919</v>
      </c>
      <c r="BE425" s="43">
        <f t="shared" si="401"/>
        <v>111.06842865800043</v>
      </c>
      <c r="BF425" s="41" t="str">
        <f t="shared" si="402"/>
        <v>0.0854635004472237-0.0217525230604922i</v>
      </c>
      <c r="BG425" s="20">
        <f t="shared" si="403"/>
        <v>-21.091777282644905</v>
      </c>
      <c r="BH425" s="43">
        <f t="shared" si="404"/>
        <v>-14.279948247736373</v>
      </c>
      <c r="BI425" s="41" t="str">
        <f t="shared" si="357"/>
        <v>0.100828399023843+0.310000603503432i</v>
      </c>
      <c r="BJ425" s="20">
        <f t="shared" si="405"/>
        <v>-9.736026413862465</v>
      </c>
      <c r="BK425" s="43">
        <f t="shared" si="358"/>
        <v>71.982766370945342</v>
      </c>
      <c r="BL425">
        <f t="shared" si="406"/>
        <v>-21.091777282644905</v>
      </c>
      <c r="BM425" s="43">
        <f t="shared" si="407"/>
        <v>-14.279948247736373</v>
      </c>
    </row>
    <row r="426" spans="14:65" x14ac:dyDescent="0.25">
      <c r="N426" s="9">
        <v>8</v>
      </c>
      <c r="O426" s="34">
        <f t="shared" si="408"/>
        <v>120226.44346174144</v>
      </c>
      <c r="P426" s="33" t="str">
        <f t="shared" si="360"/>
        <v>19.6196196196196</v>
      </c>
      <c r="Q426" s="4" t="str">
        <f t="shared" si="361"/>
        <v>1+182.851116776075i</v>
      </c>
      <c r="R426" s="4">
        <f t="shared" si="373"/>
        <v>182.85385122074354</v>
      </c>
      <c r="S426" s="4">
        <f t="shared" si="374"/>
        <v>1.565327451088379</v>
      </c>
      <c r="T426" s="4" t="str">
        <f t="shared" si="362"/>
        <v>1+2.8403228868307i</v>
      </c>
      <c r="U426" s="4">
        <f t="shared" si="375"/>
        <v>3.0112180428282307</v>
      </c>
      <c r="V426" s="4">
        <f t="shared" si="376"/>
        <v>1.2322762449891729</v>
      </c>
      <c r="W426" t="str">
        <f t="shared" si="363"/>
        <v>1-1.65244848801653i</v>
      </c>
      <c r="X426" s="4">
        <f t="shared" si="377"/>
        <v>1.9314724967102472</v>
      </c>
      <c r="Y426" s="4">
        <f t="shared" si="378"/>
        <v>-1.0265894518315153</v>
      </c>
      <c r="Z426" t="str">
        <f t="shared" si="364"/>
        <v>0.985545602292541+1.10612878381515i</v>
      </c>
      <c r="AA426" s="4">
        <f t="shared" si="379"/>
        <v>1.4814928351438457</v>
      </c>
      <c r="AB426" s="4">
        <f t="shared" si="380"/>
        <v>0.84298354340820481</v>
      </c>
      <c r="AC426" s="47" t="str">
        <f t="shared" si="381"/>
        <v>-0.248786233957263-0.339909955540814i</v>
      </c>
      <c r="AD426" s="20">
        <f t="shared" si="382"/>
        <v>-7.5096470349341455</v>
      </c>
      <c r="AE426" s="43">
        <f t="shared" si="383"/>
        <v>-126.20107059009408</v>
      </c>
      <c r="AF426" t="str">
        <f t="shared" si="365"/>
        <v>72.2956529813786</v>
      </c>
      <c r="AG426" t="str">
        <f t="shared" si="366"/>
        <v>1+149.116951558612i</v>
      </c>
      <c r="AH426">
        <f t="shared" si="384"/>
        <v>149.12030459375219</v>
      </c>
      <c r="AI426">
        <f t="shared" si="385"/>
        <v>1.5640902816460671</v>
      </c>
      <c r="AJ426" t="str">
        <f t="shared" si="367"/>
        <v>1+2.8403228868307i</v>
      </c>
      <c r="AK426">
        <f t="shared" si="386"/>
        <v>3.0112180428282307</v>
      </c>
      <c r="AL426">
        <f t="shared" si="387"/>
        <v>1.2322762449891729</v>
      </c>
      <c r="AM426" t="str">
        <f t="shared" si="368"/>
        <v>1-0.365708884260208i</v>
      </c>
      <c r="AN426">
        <f t="shared" si="388"/>
        <v>1.0647736792515328</v>
      </c>
      <c r="AO426">
        <f t="shared" si="389"/>
        <v>-0.35060025836032965</v>
      </c>
      <c r="AP426" s="41" t="str">
        <f t="shared" si="390"/>
        <v>1.20632947340271-0.980338456421507i</v>
      </c>
      <c r="AQ426">
        <f t="shared" si="391"/>
        <v>3.8314982716388175</v>
      </c>
      <c r="AR426" s="43">
        <f t="shared" si="392"/>
        <v>-39.099458983882357</v>
      </c>
      <c r="AS426" t="str">
        <f t="shared" si="369"/>
        <v>-0.0000166666666666667</v>
      </c>
      <c r="AT426" t="str">
        <f t="shared" si="370"/>
        <v>0.00256837707851712i</v>
      </c>
      <c r="AU426">
        <f t="shared" si="393"/>
        <v>2.56837707851712E-3</v>
      </c>
      <c r="AV426">
        <f t="shared" si="394"/>
        <v>1.5707963267948966</v>
      </c>
      <c r="AW426" t="str">
        <f t="shared" si="371"/>
        <v>1+2.56615529903744i</v>
      </c>
      <c r="AX426">
        <f t="shared" si="395"/>
        <v>2.7541156509445885</v>
      </c>
      <c r="AY426">
        <f t="shared" si="396"/>
        <v>1.1992110663928521</v>
      </c>
      <c r="AZ426" t="str">
        <f t="shared" si="372"/>
        <v>1+87.2492801672728i</v>
      </c>
      <c r="BA426">
        <f t="shared" si="397"/>
        <v>87.255010685388498</v>
      </c>
      <c r="BB426">
        <f t="shared" si="398"/>
        <v>1.5593354160167119</v>
      </c>
      <c r="BC426" s="41" t="str">
        <f t="shared" si="399"/>
        <v>-0.0724473481408848+0.192400328472929i</v>
      </c>
      <c r="BD426">
        <f t="shared" si="400"/>
        <v>-13.740036659244312</v>
      </c>
      <c r="BE426" s="43">
        <f t="shared" si="401"/>
        <v>110.63360533334085</v>
      </c>
      <c r="BF426" s="41" t="str">
        <f t="shared" si="402"/>
        <v>0.0834226900014328-0.0232409782473023i</v>
      </c>
      <c r="BG426" s="20">
        <f t="shared" si="403"/>
        <v>-21.249683694178458</v>
      </c>
      <c r="BH426" s="43">
        <f t="shared" si="404"/>
        <v>-15.567465256753186</v>
      </c>
      <c r="BI426" s="41" t="str">
        <f t="shared" si="357"/>
        <v>0.101222069697926+0.303121108377523i</v>
      </c>
      <c r="BJ426" s="20">
        <f t="shared" si="405"/>
        <v>-9.9085383876055033</v>
      </c>
      <c r="BK426" s="43">
        <f t="shared" si="358"/>
        <v>71.534146349458439</v>
      </c>
      <c r="BL426">
        <f t="shared" si="406"/>
        <v>-21.249683694178458</v>
      </c>
      <c r="BM426" s="43">
        <f t="shared" si="407"/>
        <v>-15.567465256753186</v>
      </c>
    </row>
    <row r="427" spans="14:65" x14ac:dyDescent="0.25">
      <c r="N427" s="9">
        <v>9</v>
      </c>
      <c r="O427" s="34">
        <f t="shared" si="408"/>
        <v>123026.87708123829</v>
      </c>
      <c r="P427" s="33" t="str">
        <f t="shared" si="360"/>
        <v>19.6196196196196</v>
      </c>
      <c r="Q427" s="4" t="str">
        <f t="shared" si="361"/>
        <v>1+187.110266427668i</v>
      </c>
      <c r="R427" s="4">
        <f t="shared" si="373"/>
        <v>187.11293862967602</v>
      </c>
      <c r="S427" s="4">
        <f t="shared" si="374"/>
        <v>1.5654519354996761</v>
      </c>
      <c r="T427" s="4" t="str">
        <f t="shared" si="362"/>
        <v>1+2.90648250590849i</v>
      </c>
      <c r="U427" s="4">
        <f t="shared" si="375"/>
        <v>3.0737014424228155</v>
      </c>
      <c r="V427" s="4">
        <f t="shared" si="376"/>
        <v>1.2394243810353722</v>
      </c>
      <c r="W427" t="str">
        <f t="shared" si="363"/>
        <v>1-1.69093895789224i</v>
      </c>
      <c r="X427" s="4">
        <f t="shared" si="377"/>
        <v>1.9645036419710946</v>
      </c>
      <c r="Y427" s="4">
        <f t="shared" si="378"/>
        <v>-1.0367336866744206</v>
      </c>
      <c r="Z427" t="str">
        <f t="shared" si="364"/>
        <v>0.984864387515638+1.13189383303807i</v>
      </c>
      <c r="AA427" s="4">
        <f t="shared" si="379"/>
        <v>1.5003804554399416</v>
      </c>
      <c r="AB427" s="4">
        <f t="shared" si="380"/>
        <v>0.85474650505482297</v>
      </c>
      <c r="AC427" s="47" t="str">
        <f t="shared" si="381"/>
        <v>-0.254275136689146-0.336775666336633i</v>
      </c>
      <c r="AD427" s="20">
        <f t="shared" si="382"/>
        <v>-7.4940023070403488</v>
      </c>
      <c r="AE427" s="43">
        <f t="shared" si="383"/>
        <v>-127.05383489445761</v>
      </c>
      <c r="AF427" t="str">
        <f t="shared" si="365"/>
        <v>72.2956529813786</v>
      </c>
      <c r="AG427" t="str">
        <f t="shared" si="366"/>
        <v>1+152.590331560196i</v>
      </c>
      <c r="AH427">
        <f t="shared" si="384"/>
        <v>152.59360827259624</v>
      </c>
      <c r="AI427">
        <f t="shared" si="385"/>
        <v>1.5642429254486601</v>
      </c>
      <c r="AJ427" t="str">
        <f t="shared" si="367"/>
        <v>1+2.90648250590849i</v>
      </c>
      <c r="AK427">
        <f t="shared" si="386"/>
        <v>3.0737014424228155</v>
      </c>
      <c r="AL427">
        <f t="shared" si="387"/>
        <v>1.2394243810353722</v>
      </c>
      <c r="AM427" t="str">
        <f t="shared" si="368"/>
        <v>1-0.374227338478284i</v>
      </c>
      <c r="AN427">
        <f t="shared" si="388"/>
        <v>1.0677294136926923</v>
      </c>
      <c r="AO427">
        <f t="shared" si="389"/>
        <v>-0.35809309637099829</v>
      </c>
      <c r="AP427" s="41" t="str">
        <f t="shared" si="390"/>
        <v>1.20618558832477-0.981218000770244i</v>
      </c>
      <c r="AQ427">
        <f t="shared" si="391"/>
        <v>3.8339745956001865</v>
      </c>
      <c r="AR427" s="43">
        <f t="shared" si="392"/>
        <v>-39.127954797293789</v>
      </c>
      <c r="AS427" t="str">
        <f t="shared" si="369"/>
        <v>-0.0000166666666666667</v>
      </c>
      <c r="AT427" t="str">
        <f t="shared" si="370"/>
        <v>0.00262820226598109i</v>
      </c>
      <c r="AU427">
        <f t="shared" si="393"/>
        <v>2.6282022659810901E-3</v>
      </c>
      <c r="AV427">
        <f t="shared" si="394"/>
        <v>1.5707963267948966</v>
      </c>
      <c r="AW427" t="str">
        <f t="shared" si="371"/>
        <v>1+2.62592873460913i</v>
      </c>
      <c r="AX427">
        <f t="shared" si="395"/>
        <v>2.8098935423332159</v>
      </c>
      <c r="AY427">
        <f t="shared" si="396"/>
        <v>1.2069350349501962</v>
      </c>
      <c r="AZ427" t="str">
        <f t="shared" si="372"/>
        <v>1+89.2815769767104i</v>
      </c>
      <c r="BA427">
        <f t="shared" si="397"/>
        <v>89.287177060585051</v>
      </c>
      <c r="BB427">
        <f t="shared" si="398"/>
        <v>1.5595962761259943</v>
      </c>
      <c r="BC427" s="41" t="str">
        <f t="shared" si="399"/>
        <v>-0.0695996582603205+0.189105212865509i</v>
      </c>
      <c r="BD427">
        <f t="shared" si="400"/>
        <v>-13.914216193051672</v>
      </c>
      <c r="BE427" s="43">
        <f t="shared" si="401"/>
        <v>110.20600071721846</v>
      </c>
      <c r="BF427" s="41" t="str">
        <f t="shared" si="402"/>
        <v>0.0813834966881735-0.024645282562586i</v>
      </c>
      <c r="BG427" s="20">
        <f t="shared" si="403"/>
        <v>-21.408218500092016</v>
      </c>
      <c r="BH427" s="43">
        <f t="shared" si="404"/>
        <v>-16.847834177239168</v>
      </c>
      <c r="BI427" s="41" t="str">
        <f t="shared" si="357"/>
        <v>0.101603334157199+0.296388419967949i</v>
      </c>
      <c r="BJ427" s="20">
        <f t="shared" si="405"/>
        <v>-10.080241597451472</v>
      </c>
      <c r="BK427" s="43">
        <f t="shared" si="358"/>
        <v>71.07804591992462</v>
      </c>
      <c r="BL427">
        <f t="shared" si="406"/>
        <v>-21.408218500092016</v>
      </c>
      <c r="BM427" s="43">
        <f t="shared" si="407"/>
        <v>-16.847834177239168</v>
      </c>
    </row>
    <row r="428" spans="14:65" x14ac:dyDescent="0.25">
      <c r="N428" s="9">
        <v>10</v>
      </c>
      <c r="O428" s="34">
        <f t="shared" si="408"/>
        <v>125892.54117941685</v>
      </c>
      <c r="P428" s="33" t="str">
        <f t="shared" si="360"/>
        <v>19.6196196196196</v>
      </c>
      <c r="Q428" s="4" t="str">
        <f t="shared" si="361"/>
        <v>1+191.468624419217i</v>
      </c>
      <c r="R428" s="4">
        <f t="shared" si="373"/>
        <v>191.47123579532041</v>
      </c>
      <c r="S428" s="4">
        <f t="shared" si="374"/>
        <v>1.565573586459879</v>
      </c>
      <c r="T428" s="4" t="str">
        <f t="shared" si="362"/>
        <v>1+2.97418318048277i</v>
      </c>
      <c r="U428" s="4">
        <f t="shared" si="375"/>
        <v>3.1377962953427376</v>
      </c>
      <c r="V428" s="4">
        <f t="shared" si="376"/>
        <v>1.2464439449995945</v>
      </c>
      <c r="W428" t="str">
        <f t="shared" si="363"/>
        <v>1-1.73032598598565i</v>
      </c>
      <c r="X428" s="4">
        <f t="shared" si="377"/>
        <v>1.9985064467689895</v>
      </c>
      <c r="Y428" s="4">
        <f t="shared" si="378"/>
        <v>-1.0467660235326397</v>
      </c>
      <c r="Z428" t="str">
        <f t="shared" si="364"/>
        <v>0.984151068075389+1.15825902735366i</v>
      </c>
      <c r="AA428" s="4">
        <f t="shared" si="379"/>
        <v>1.5199070034841524</v>
      </c>
      <c r="AB428" s="4">
        <f t="shared" si="380"/>
        <v>0.8664872973912251</v>
      </c>
      <c r="AC428" s="47" t="str">
        <f t="shared" si="381"/>
        <v>-0.259734703456064-0.333570381567893i</v>
      </c>
      <c r="AD428" s="20">
        <f t="shared" si="382"/>
        <v>-7.4779934778764208</v>
      </c>
      <c r="AE428" s="43">
        <f t="shared" si="383"/>
        <v>-127.90612200152353</v>
      </c>
      <c r="AF428" t="str">
        <f t="shared" si="365"/>
        <v>72.2956529813786</v>
      </c>
      <c r="AG428" t="str">
        <f t="shared" si="366"/>
        <v>1+156.144616975345i</v>
      </c>
      <c r="AH428">
        <f t="shared" si="384"/>
        <v>156.14781910221225</v>
      </c>
      <c r="AI428">
        <f t="shared" si="385"/>
        <v>1.564392094949201</v>
      </c>
      <c r="AJ428" t="str">
        <f t="shared" si="367"/>
        <v>1+2.97418318048277i</v>
      </c>
      <c r="AK428">
        <f t="shared" si="386"/>
        <v>3.1377962953427376</v>
      </c>
      <c r="AL428">
        <f t="shared" si="387"/>
        <v>1.2464439449995945</v>
      </c>
      <c r="AM428" t="str">
        <f t="shared" si="368"/>
        <v>1-0.382944212984706i</v>
      </c>
      <c r="AN428">
        <f t="shared" si="388"/>
        <v>1.0708157032181009</v>
      </c>
      <c r="AO428">
        <f t="shared" si="389"/>
        <v>-0.36571720477775982</v>
      </c>
      <c r="AP428" s="41" t="str">
        <f t="shared" si="390"/>
        <v>1.20604817859839-0.982617714992429i</v>
      </c>
      <c r="AQ428">
        <f t="shared" si="391"/>
        <v>3.8383147817147107</v>
      </c>
      <c r="AR428" s="43">
        <f t="shared" si="392"/>
        <v>-39.171139425192365</v>
      </c>
      <c r="AS428" t="str">
        <f t="shared" si="369"/>
        <v>-0.0000166666666666667</v>
      </c>
      <c r="AT428" t="str">
        <f t="shared" si="370"/>
        <v>0.00268942096107484i</v>
      </c>
      <c r="AU428">
        <f t="shared" si="393"/>
        <v>2.68942096107484E-3</v>
      </c>
      <c r="AV428">
        <f t="shared" si="394"/>
        <v>1.5707963267948966</v>
      </c>
      <c r="AW428" t="str">
        <f t="shared" si="371"/>
        <v>1+2.68709447235419i</v>
      </c>
      <c r="AX428">
        <f t="shared" si="395"/>
        <v>2.8671373708555441</v>
      </c>
      <c r="AY428">
        <f t="shared" si="396"/>
        <v>1.2145273465345996</v>
      </c>
      <c r="AZ428" t="str">
        <f t="shared" si="372"/>
        <v>1+91.3612120600425i</v>
      </c>
      <c r="BA428">
        <f t="shared" si="397"/>
        <v>91.36668467816952</v>
      </c>
      <c r="BB428">
        <f t="shared" si="398"/>
        <v>1.5598511998072098</v>
      </c>
      <c r="BC428" s="41" t="str">
        <f t="shared" si="399"/>
        <v>-0.0668482183312941+0.185824598797777i</v>
      </c>
      <c r="BD428">
        <f t="shared" si="400"/>
        <v>-14.089413415967256</v>
      </c>
      <c r="BE428" s="43">
        <f t="shared" si="401"/>
        <v>109.78559935771548</v>
      </c>
      <c r="BF428" s="41" t="str">
        <f t="shared" si="402"/>
        <v>0.07934838449052-0.0259665113676791i</v>
      </c>
      <c r="BG428" s="20">
        <f t="shared" si="403"/>
        <v>-21.567406893843675</v>
      </c>
      <c r="BH428" s="43">
        <f t="shared" si="404"/>
        <v>-18.120522643808062</v>
      </c>
      <c r="BI428" s="41" t="str">
        <f t="shared" si="357"/>
        <v>0.101972370699052+0.289799662466847i</v>
      </c>
      <c r="BJ428" s="20">
        <f t="shared" si="405"/>
        <v>-10.251098634252536</v>
      </c>
      <c r="BK428" s="43">
        <f t="shared" si="358"/>
        <v>70.61445993252309</v>
      </c>
      <c r="BL428">
        <f t="shared" si="406"/>
        <v>-21.567406893843675</v>
      </c>
      <c r="BM428" s="43">
        <f t="shared" si="407"/>
        <v>-18.120522643808062</v>
      </c>
    </row>
    <row r="429" spans="14:65" x14ac:dyDescent="0.25">
      <c r="N429" s="9">
        <v>11</v>
      </c>
      <c r="O429" s="34">
        <f t="shared" si="408"/>
        <v>128824.95516931375</v>
      </c>
      <c r="P429" s="33" t="str">
        <f t="shared" si="360"/>
        <v>19.6196196196196</v>
      </c>
      <c r="Q429" s="4" t="str">
        <f t="shared" si="361"/>
        <v>1+195.928501609821i</v>
      </c>
      <c r="R429" s="4">
        <f t="shared" si="373"/>
        <v>195.93105354453039</v>
      </c>
      <c r="S429" s="4">
        <f t="shared" si="374"/>
        <v>1.5656924684555265</v>
      </c>
      <c r="T429" s="4" t="str">
        <f t="shared" si="362"/>
        <v>1+3.0434608063473i</v>
      </c>
      <c r="U429" s="4">
        <f t="shared" si="375"/>
        <v>3.2035376819653858</v>
      </c>
      <c r="V429" s="4">
        <f t="shared" si="376"/>
        <v>1.2533358907684711</v>
      </c>
      <c r="W429" t="str">
        <f t="shared" si="363"/>
        <v>1-1.77063045582041i</v>
      </c>
      <c r="X429" s="4">
        <f t="shared" si="377"/>
        <v>2.0335024492433722</v>
      </c>
      <c r="Y429" s="4">
        <f t="shared" si="378"/>
        <v>-1.05668370325007</v>
      </c>
      <c r="Z429" t="str">
        <f t="shared" si="364"/>
        <v>0.983404130925624+1.18523834593693i</v>
      </c>
      <c r="AA429" s="4">
        <f t="shared" si="379"/>
        <v>1.540088835554914</v>
      </c>
      <c r="AB429" s="4">
        <f t="shared" si="380"/>
        <v>0.87820021381564195</v>
      </c>
      <c r="AC429" s="47" t="str">
        <f t="shared" si="381"/>
        <v>-0.265159475563682-0.330294509260312i</v>
      </c>
      <c r="AD429" s="20">
        <f t="shared" si="382"/>
        <v>-7.4616785313046563</v>
      </c>
      <c r="AE429" s="43">
        <f t="shared" si="383"/>
        <v>-128.75739590022457</v>
      </c>
      <c r="AF429" t="str">
        <f t="shared" si="365"/>
        <v>72.2956529813786</v>
      </c>
      <c r="AG429" t="str">
        <f t="shared" si="366"/>
        <v>1+159.781692333234i</v>
      </c>
      <c r="AH429">
        <f t="shared" si="384"/>
        <v>159.78482157223897</v>
      </c>
      <c r="AI429">
        <f t="shared" si="385"/>
        <v>1.5645378692127647</v>
      </c>
      <c r="AJ429" t="str">
        <f t="shared" si="367"/>
        <v>1+3.0434608063473i</v>
      </c>
      <c r="AK429">
        <f t="shared" si="386"/>
        <v>3.2035376819653858</v>
      </c>
      <c r="AL429">
        <f t="shared" si="387"/>
        <v>1.2533358907684711</v>
      </c>
      <c r="AM429" t="str">
        <f t="shared" si="368"/>
        <v>1-0.391864129581719i</v>
      </c>
      <c r="AN429">
        <f t="shared" si="388"/>
        <v>1.0740379397641586</v>
      </c>
      <c r="AO429">
        <f t="shared" si="389"/>
        <v>-0.37347307964386756</v>
      </c>
      <c r="AP429" s="41" t="str">
        <f t="shared" si="390"/>
        <v>1.20591695283255-0.984538346901213i</v>
      </c>
      <c r="AQ429">
        <f t="shared" si="391"/>
        <v>3.8445224452428288</v>
      </c>
      <c r="AR429" s="43">
        <f t="shared" si="392"/>
        <v>-39.228991166326196</v>
      </c>
      <c r="AS429" t="str">
        <f t="shared" si="369"/>
        <v>-0.0000166666666666667</v>
      </c>
      <c r="AT429" t="str">
        <f t="shared" si="370"/>
        <v>0.00275206562276086i</v>
      </c>
      <c r="AU429">
        <f t="shared" si="393"/>
        <v>2.75206562276086E-3</v>
      </c>
      <c r="AV429">
        <f t="shared" si="394"/>
        <v>1.5707963267948966</v>
      </c>
      <c r="AW429" t="str">
        <f t="shared" si="371"/>
        <v>1+2.7496849431564i</v>
      </c>
      <c r="AX429">
        <f t="shared" si="395"/>
        <v>2.925878891311295</v>
      </c>
      <c r="AY429">
        <f t="shared" si="396"/>
        <v>1.2219885245276529</v>
      </c>
      <c r="AZ429" t="str">
        <f t="shared" si="372"/>
        <v>1+93.4892880673175i</v>
      </c>
      <c r="BA429">
        <f t="shared" si="397"/>
        <v>93.494636120656025</v>
      </c>
      <c r="BB429">
        <f t="shared" si="398"/>
        <v>1.5601003220916601</v>
      </c>
      <c r="BC429" s="41" t="str">
        <f t="shared" si="399"/>
        <v>-0.0641910009996533+0.182561086075682i</v>
      </c>
      <c r="BD429">
        <f t="shared" si="400"/>
        <v>-14.265593716753957</v>
      </c>
      <c r="BE429" s="43">
        <f t="shared" si="401"/>
        <v>109.37237900399931</v>
      </c>
      <c r="BF429" s="41" t="str">
        <f t="shared" si="402"/>
        <v>0.0773197764963728-0.0272058666680554i</v>
      </c>
      <c r="BG429" s="20">
        <f t="shared" si="403"/>
        <v>-21.727272248058615</v>
      </c>
      <c r="BH429" s="43">
        <f t="shared" si="404"/>
        <v>-19.385016896225274</v>
      </c>
      <c r="BI429" s="41" t="str">
        <f t="shared" si="357"/>
        <v>0.102329373568669+0.28335201063632i</v>
      </c>
      <c r="BJ429" s="20">
        <f t="shared" si="405"/>
        <v>-10.421071271511128</v>
      </c>
      <c r="BK429" s="43">
        <f t="shared" si="358"/>
        <v>70.143387837673103</v>
      </c>
      <c r="BL429">
        <f t="shared" si="406"/>
        <v>-21.727272248058615</v>
      </c>
      <c r="BM429" s="43">
        <f t="shared" si="407"/>
        <v>-19.385016896225274</v>
      </c>
    </row>
    <row r="430" spans="14:65" x14ac:dyDescent="0.25">
      <c r="N430" s="9">
        <v>12</v>
      </c>
      <c r="O430" s="34">
        <f t="shared" si="408"/>
        <v>131825.67385564081</v>
      </c>
      <c r="P430" s="33" t="str">
        <f t="shared" si="360"/>
        <v>19.6196196196196</v>
      </c>
      <c r="Q430" s="4" t="str">
        <f t="shared" si="361"/>
        <v>1+200.492262685398i</v>
      </c>
      <c r="R430" s="4">
        <f t="shared" si="373"/>
        <v>200.4947565317124</v>
      </c>
      <c r="S430" s="4">
        <f t="shared" si="374"/>
        <v>1.5658086445059771</v>
      </c>
      <c r="T430" s="4" t="str">
        <f t="shared" si="362"/>
        <v>1+3.11435211541632i</v>
      </c>
      <c r="U430" s="4">
        <f t="shared" si="375"/>
        <v>3.2709614945453125</v>
      </c>
      <c r="V430" s="4">
        <f t="shared" si="376"/>
        <v>1.2601012527810573</v>
      </c>
      <c r="W430" t="str">
        <f t="shared" si="363"/>
        <v>1-1.8118737373599i</v>
      </c>
      <c r="X430" s="4">
        <f t="shared" si="377"/>
        <v>2.0695135757309089</v>
      </c>
      <c r="Y430" s="4">
        <f t="shared" si="378"/>
        <v>-1.0664841796145386</v>
      </c>
      <c r="Z430" t="str">
        <f t="shared" si="364"/>
        <v>0.982621991712506+1.21284609357969i</v>
      </c>
      <c r="AA430" s="4">
        <f t="shared" si="379"/>
        <v>1.5609425438844848</v>
      </c>
      <c r="AB430" s="4">
        <f t="shared" si="380"/>
        <v>0.88987964286223697</v>
      </c>
      <c r="AC430" s="47" t="str">
        <f t="shared" si="381"/>
        <v>-0.270544129493075-0.326948784984642i</v>
      </c>
      <c r="AD430" s="20">
        <f t="shared" si="382"/>
        <v>-7.445112845347861</v>
      </c>
      <c r="AE430" s="43">
        <f t="shared" si="383"/>
        <v>-129.60713353179091</v>
      </c>
      <c r="AF430" t="str">
        <f t="shared" si="365"/>
        <v>72.2956529813786</v>
      </c>
      <c r="AG430" t="str">
        <f t="shared" si="366"/>
        <v>1+163.503486059357i</v>
      </c>
      <c r="AH430">
        <f t="shared" si="384"/>
        <v>163.50654406953365</v>
      </c>
      <c r="AI430">
        <f t="shared" si="385"/>
        <v>1.5646803255059987</v>
      </c>
      <c r="AJ430" t="str">
        <f t="shared" si="367"/>
        <v>1+3.11435211541632i</v>
      </c>
      <c r="AK430">
        <f t="shared" si="386"/>
        <v>3.2709614945453125</v>
      </c>
      <c r="AL430">
        <f t="shared" si="387"/>
        <v>1.2601012527810573</v>
      </c>
      <c r="AM430" t="str">
        <f t="shared" si="368"/>
        <v>1-0.40099181772717i</v>
      </c>
      <c r="AN430">
        <f t="shared" si="388"/>
        <v>1.0774017068318298</v>
      </c>
      <c r="AO430">
        <f t="shared" si="389"/>
        <v>-0.38136109986579081</v>
      </c>
      <c r="AP430" s="41" t="str">
        <f t="shared" si="390"/>
        <v>1.20579163274685-0.986980920129085i</v>
      </c>
      <c r="AQ430">
        <f t="shared" si="391"/>
        <v>3.8526027267056824</v>
      </c>
      <c r="AR430" s="43">
        <f t="shared" si="392"/>
        <v>-39.301476887924274</v>
      </c>
      <c r="AS430" t="str">
        <f t="shared" si="369"/>
        <v>-0.0000166666666666667</v>
      </c>
      <c r="AT430" t="str">
        <f t="shared" si="370"/>
        <v>0.00281616946606796i</v>
      </c>
      <c r="AU430">
        <f t="shared" si="393"/>
        <v>2.8161694660679601E-3</v>
      </c>
      <c r="AV430">
        <f t="shared" si="394"/>
        <v>1.5707963267948966</v>
      </c>
      <c r="AW430" t="str">
        <f t="shared" si="371"/>
        <v>1+2.81373333331184i</v>
      </c>
      <c r="AX430">
        <f t="shared" si="395"/>
        <v>2.986150577414032</v>
      </c>
      <c r="AY430">
        <f t="shared" si="396"/>
        <v>1.2293192011000662</v>
      </c>
      <c r="AZ430" t="str">
        <f t="shared" si="372"/>
        <v>1+95.6669333326025i</v>
      </c>
      <c r="BA430">
        <f t="shared" si="397"/>
        <v>95.672159656112143</v>
      </c>
      <c r="BB430">
        <f t="shared" si="398"/>
        <v>1.5603437749435187</v>
      </c>
      <c r="BC430" s="41" t="str">
        <f t="shared" si="399"/>
        <v>-0.0616259224280181+0.179317116582027i</v>
      </c>
      <c r="BD430">
        <f t="shared" si="400"/>
        <v>-14.442723230280606</v>
      </c>
      <c r="BE430" s="43">
        <f t="shared" si="401"/>
        <v>108.96631099634655</v>
      </c>
      <c r="BF430" s="41" t="str">
        <f t="shared" si="402"/>
        <v>0.0753000449309391-0.0283646727474944i</v>
      </c>
      <c r="BG430" s="20">
        <f t="shared" si="403"/>
        <v>-21.887836075628464</v>
      </c>
      <c r="BH430" s="43">
        <f t="shared" si="404"/>
        <v>-20.640822535444325</v>
      </c>
      <c r="BI430" s="41" t="str">
        <f t="shared" si="357"/>
        <v>0.102674551095013+0.277042688404709i</v>
      </c>
      <c r="BJ430" s="20">
        <f t="shared" si="405"/>
        <v>-10.590120503574907</v>
      </c>
      <c r="BK430" s="43">
        <f t="shared" si="358"/>
        <v>69.664834108422269</v>
      </c>
      <c r="BL430">
        <f t="shared" si="406"/>
        <v>-21.887836075628464</v>
      </c>
      <c r="BM430" s="43">
        <f t="shared" si="407"/>
        <v>-20.640822535444325</v>
      </c>
    </row>
    <row r="431" spans="14:65" x14ac:dyDescent="0.25">
      <c r="N431" s="9">
        <v>13</v>
      </c>
      <c r="O431" s="34">
        <f t="shared" si="408"/>
        <v>134896.28825916545</v>
      </c>
      <c r="P431" s="33" t="str">
        <f t="shared" si="360"/>
        <v>19.6196196196196</v>
      </c>
      <c r="Q431" s="4" t="str">
        <f t="shared" si="361"/>
        <v>1+205.16232741248i</v>
      </c>
      <c r="R431" s="4">
        <f t="shared" si="373"/>
        <v>205.16476449260395</v>
      </c>
      <c r="S431" s="4">
        <f t="shared" si="374"/>
        <v>1.5659221761967594</v>
      </c>
      <c r="T431" s="4" t="str">
        <f t="shared" si="362"/>
        <v>1+3.18689469520026i</v>
      </c>
      <c r="U431" s="4">
        <f t="shared" si="375"/>
        <v>3.3401044591891975</v>
      </c>
      <c r="V431" s="4">
        <f t="shared" si="376"/>
        <v>1.2667411400543565</v>
      </c>
      <c r="W431" t="str">
        <f t="shared" si="363"/>
        <v>1-1.85407769833792i</v>
      </c>
      <c r="X431" s="4">
        <f t="shared" si="377"/>
        <v>2.1065621546667073</v>
      </c>
      <c r="Y431" s="4">
        <f t="shared" si="378"/>
        <v>-1.0761651176258678</v>
      </c>
      <c r="Z431" t="str">
        <f t="shared" si="364"/>
        <v>0.9818029914139+1.24109690827518i</v>
      </c>
      <c r="AA431" s="4">
        <f t="shared" si="379"/>
        <v>1.5824849603327968</v>
      </c>
      <c r="AB431" s="4">
        <f t="shared" si="380"/>
        <v>0.90152008242300175</v>
      </c>
      <c r="AC431" s="47" t="str">
        <f t="shared" si="381"/>
        <v>-0.275883497495895-0.323534258415184i</v>
      </c>
      <c r="AD431" s="20">
        <f t="shared" si="382"/>
        <v>-7.4283491454699293</v>
      </c>
      <c r="AE431" s="43">
        <f t="shared" si="383"/>
        <v>-130.45482584959674</v>
      </c>
      <c r="AF431" t="str">
        <f t="shared" si="365"/>
        <v>72.2956529813786</v>
      </c>
      <c r="AG431" t="str">
        <f t="shared" si="366"/>
        <v>1+167.311971498014i</v>
      </c>
      <c r="AH431">
        <f t="shared" si="384"/>
        <v>167.31495990063843</v>
      </c>
      <c r="AI431">
        <f t="shared" si="385"/>
        <v>1.5648195393379747</v>
      </c>
      <c r="AJ431" t="str">
        <f t="shared" si="367"/>
        <v>1+3.18689469520026i</v>
      </c>
      <c r="AK431">
        <f t="shared" si="386"/>
        <v>3.3401044591891975</v>
      </c>
      <c r="AL431">
        <f t="shared" si="387"/>
        <v>1.2667411400543565</v>
      </c>
      <c r="AM431" t="str">
        <f t="shared" si="368"/>
        <v>1-0.410332117042134i</v>
      </c>
      <c r="AN431">
        <f t="shared" si="388"/>
        <v>1.0809127838434882</v>
      </c>
      <c r="AO431">
        <f t="shared" si="389"/>
        <v>-0.38938152034736473</v>
      </c>
      <c r="AP431" s="41" t="str">
        <f t="shared" si="390"/>
        <v>1.20567195258166-0.989946734695786i</v>
      </c>
      <c r="AQ431">
        <f t="shared" si="391"/>
        <v>3.8625622695044011</v>
      </c>
      <c r="AR431" s="43">
        <f t="shared" si="392"/>
        <v>-39.388551979258139</v>
      </c>
      <c r="AS431" t="str">
        <f t="shared" si="369"/>
        <v>-0.0000166666666666667</v>
      </c>
      <c r="AT431" t="str">
        <f t="shared" si="370"/>
        <v>0.00288176647970237i</v>
      </c>
      <c r="AU431">
        <f t="shared" si="393"/>
        <v>2.8817664797023699E-3</v>
      </c>
      <c r="AV431">
        <f t="shared" si="394"/>
        <v>1.5707963267948966</v>
      </c>
      <c r="AW431" t="str">
        <f t="shared" si="371"/>
        <v>1+2.87927360212478i</v>
      </c>
      <c r="AX431">
        <f t="shared" si="395"/>
        <v>3.0479856423370184</v>
      </c>
      <c r="AY431">
        <f t="shared" si="396"/>
        <v>1.2365201105751529</v>
      </c>
      <c r="AZ431" t="str">
        <f t="shared" si="372"/>
        <v>1+97.8953024722422i</v>
      </c>
      <c r="BA431">
        <f t="shared" si="397"/>
        <v>97.900409836383147</v>
      </c>
      <c r="BB431">
        <f t="shared" si="398"/>
        <v>1.5605816873292102</v>
      </c>
      <c r="BC431" s="41" t="str">
        <f t="shared" si="399"/>
        <v>-0.0591508521765085+0.17609497688499i</v>
      </c>
      <c r="BD431">
        <f t="shared" si="400"/>
        <v>-14.620768856369295</v>
      </c>
      <c r="BE431" s="43">
        <f t="shared" si="401"/>
        <v>108.56736065036232</v>
      </c>
      <c r="BF431" s="41" t="str">
        <f t="shared" si="402"/>
        <v>0.073291501735442-0.029444371020937i</v>
      </c>
      <c r="BG431" s="20">
        <f t="shared" si="403"/>
        <v>-22.049118001839226</v>
      </c>
      <c r="BH431" s="43">
        <f t="shared" si="404"/>
        <v>-21.887465199234423</v>
      </c>
      <c r="BI431" s="41" t="str">
        <f t="shared" si="357"/>
        <v>0.103008123923106+0.270868967587356i</v>
      </c>
      <c r="BJ431" s="20">
        <f t="shared" si="405"/>
        <v>-10.758206586864887</v>
      </c>
      <c r="BK431" s="43">
        <f t="shared" si="358"/>
        <v>69.178808671104136</v>
      </c>
      <c r="BL431">
        <f t="shared" si="406"/>
        <v>-22.049118001839226</v>
      </c>
      <c r="BM431" s="43">
        <f t="shared" si="407"/>
        <v>-21.887465199234423</v>
      </c>
    </row>
    <row r="432" spans="14:65" x14ac:dyDescent="0.25">
      <c r="N432" s="9">
        <v>14</v>
      </c>
      <c r="O432" s="34">
        <f t="shared" si="408"/>
        <v>138038.42646028858</v>
      </c>
      <c r="P432" s="33" t="str">
        <f t="shared" si="360"/>
        <v>19.6196196196196</v>
      </c>
      <c r="Q432" s="4" t="str">
        <f t="shared" si="361"/>
        <v>1+209.9411719212i</v>
      </c>
      <c r="R432" s="4">
        <f t="shared" si="373"/>
        <v>209.94355352724423</v>
      </c>
      <c r="S432" s="4">
        <f t="shared" si="374"/>
        <v>1.566033123712165</v>
      </c>
      <c r="T432" s="4" t="str">
        <f t="shared" si="362"/>
        <v>1+3.26112700873514i</v>
      </c>
      <c r="U432" s="4">
        <f t="shared" si="375"/>
        <v>3.4110041581771489</v>
      </c>
      <c r="V432" s="4">
        <f t="shared" si="376"/>
        <v>1.2732567303953897</v>
      </c>
      <c r="W432" t="str">
        <f t="shared" si="363"/>
        <v>1-1.89726471585323i</v>
      </c>
      <c r="X432" s="4">
        <f t="shared" si="377"/>
        <v>2.1446709309406042</v>
      </c>
      <c r="Y432" s="4">
        <f t="shared" si="378"/>
        <v>-1.0857243910547096</v>
      </c>
      <c r="Z432" t="str">
        <f t="shared" si="364"/>
        <v>0.980945392820368+1.2700057689793i</v>
      </c>
      <c r="AA432" s="4">
        <f t="shared" si="379"/>
        <v>1.604733160664479</v>
      </c>
      <c r="AB432" s="4">
        <f t="shared" si="380"/>
        <v>0.91311615332040896</v>
      </c>
      <c r="AC432" s="47" t="str">
        <f t="shared" si="381"/>
        <v>-0.28117258682971-0.320052278298256i</v>
      </c>
      <c r="AD432" s="20">
        <f t="shared" si="382"/>
        <v>-7.4114374722571679</v>
      </c>
      <c r="AE432" s="43">
        <f t="shared" si="383"/>
        <v>-131.29997879043978</v>
      </c>
      <c r="AF432" t="str">
        <f t="shared" si="365"/>
        <v>72.2956529813786</v>
      </c>
      <c r="AG432" t="str">
        <f t="shared" si="366"/>
        <v>1+171.209167958595i</v>
      </c>
      <c r="AH432">
        <f t="shared" si="384"/>
        <v>171.21208833804462</v>
      </c>
      <c r="AI432">
        <f t="shared" si="385"/>
        <v>1.5649555845001122</v>
      </c>
      <c r="AJ432" t="str">
        <f t="shared" si="367"/>
        <v>1+3.26112700873514i</v>
      </c>
      <c r="AK432">
        <f t="shared" si="386"/>
        <v>3.4110041581771489</v>
      </c>
      <c r="AL432">
        <f t="shared" si="387"/>
        <v>1.2732567303953897</v>
      </c>
      <c r="AM432" t="str">
        <f t="shared" si="368"/>
        <v>1-0.419889979876942i</v>
      </c>
      <c r="AN432">
        <f t="shared" si="388"/>
        <v>1.0845771504144177</v>
      </c>
      <c r="AO432">
        <f t="shared" si="389"/>
        <v>-0.39753446513276613</v>
      </c>
      <c r="AP432" s="41" t="str">
        <f t="shared" si="390"/>
        <v>1.20555765853504-0.993437367721209i</v>
      </c>
      <c r="AQ432">
        <f t="shared" si="391"/>
        <v>3.8744091908238087</v>
      </c>
      <c r="AR432" s="43">
        <f t="shared" si="392"/>
        <v>-39.490160292101088</v>
      </c>
      <c r="AS432" t="str">
        <f t="shared" si="369"/>
        <v>-0.0000166666666666667</v>
      </c>
      <c r="AT432" t="str">
        <f t="shared" si="370"/>
        <v>0.00294889144406902i</v>
      </c>
      <c r="AU432">
        <f t="shared" si="393"/>
        <v>2.9488914440690202E-3</v>
      </c>
      <c r="AV432">
        <f t="shared" si="394"/>
        <v>1.5707963267948966</v>
      </c>
      <c r="AW432" t="str">
        <f t="shared" si="371"/>
        <v>1+2.94634049991325i</v>
      </c>
      <c r="AX432">
        <f t="shared" si="395"/>
        <v>3.1114180595717218</v>
      </c>
      <c r="AY432">
        <f t="shared" si="396"/>
        <v>1.2435920829136049</v>
      </c>
      <c r="AZ432" t="str">
        <f t="shared" si="372"/>
        <v>1+100.17557699705i</v>
      </c>
      <c r="BA432">
        <f t="shared" si="397"/>
        <v>100.18056810924908</v>
      </c>
      <c r="BB432">
        <f t="shared" si="398"/>
        <v>1.5608141852852373</v>
      </c>
      <c r="BC432" s="41" t="str">
        <f t="shared" si="399"/>
        <v>-0.0567636225219598+0.17289680133076i</v>
      </c>
      <c r="BD432">
        <f t="shared" si="400"/>
        <v>-14.799698275143882</v>
      </c>
      <c r="BE432" s="43">
        <f t="shared" si="401"/>
        <v>108.17548763416153</v>
      </c>
      <c r="BF432" s="41" t="str">
        <f t="shared" si="402"/>
        <v>0.0712963897587153-0.0304465141721368i</v>
      </c>
      <c r="BG432" s="20">
        <f t="shared" si="403"/>
        <v>-22.211135747401052</v>
      </c>
      <c r="BH432" s="43">
        <f t="shared" si="404"/>
        <v>-23.124491156278253</v>
      </c>
      <c r="BI432" s="41" t="str">
        <f t="shared" si="357"/>
        <v>0.103330323343906+0.264828166721045i</v>
      </c>
      <c r="BJ432" s="20">
        <f t="shared" si="405"/>
        <v>-10.925289084320077</v>
      </c>
      <c r="BK432" s="43">
        <f t="shared" si="358"/>
        <v>68.685327342060503</v>
      </c>
      <c r="BL432">
        <f t="shared" si="406"/>
        <v>-22.211135747401052</v>
      </c>
      <c r="BM432" s="43">
        <f t="shared" si="407"/>
        <v>-23.124491156278253</v>
      </c>
    </row>
    <row r="433" spans="14:65" x14ac:dyDescent="0.25">
      <c r="N433" s="9">
        <v>15</v>
      </c>
      <c r="O433" s="34">
        <f t="shared" si="408"/>
        <v>141253.75446227577</v>
      </c>
      <c r="P433" s="33" t="str">
        <f t="shared" si="360"/>
        <v>19.6196196196196</v>
      </c>
      <c r="Q433" s="4" t="str">
        <f t="shared" si="361"/>
        <v>1+214.831330018174i</v>
      </c>
      <c r="R433" s="4">
        <f t="shared" si="373"/>
        <v>214.83365741284018</v>
      </c>
      <c r="S433" s="4">
        <f t="shared" si="374"/>
        <v>1.5661415458671033</v>
      </c>
      <c r="T433" s="4" t="str">
        <f t="shared" si="362"/>
        <v>1+3.33708841497617i</v>
      </c>
      <c r="U433" s="4">
        <f t="shared" si="375"/>
        <v>3.4836990526404787</v>
      </c>
      <c r="V433" s="4">
        <f t="shared" si="376"/>
        <v>1.2796492648085984</v>
      </c>
      <c r="W433" t="str">
        <f t="shared" si="363"/>
        <v>1-1.94145768823415i</v>
      </c>
      <c r="X433" s="4">
        <f t="shared" si="377"/>
        <v>2.1838630806906121</v>
      </c>
      <c r="Y433" s="4">
        <f t="shared" si="378"/>
        <v>-1.0951600793448852</v>
      </c>
      <c r="Z433" t="str">
        <f t="shared" si="364"/>
        <v>0.980047376850311+1.29958800355265i</v>
      </c>
      <c r="AA433" s="4">
        <f t="shared" si="379"/>
        <v>1.6277044694443576</v>
      </c>
      <c r="AB433" s="4">
        <f t="shared" si="380"/>
        <v>0.92466261215771872</v>
      </c>
      <c r="AC433" s="47" t="str">
        <f t="shared" si="381"/>
        <v>-0.286406597494592-0.316504475991286i</v>
      </c>
      <c r="AD433" s="20">
        <f t="shared" si="382"/>
        <v>-7.3944251630610971</v>
      </c>
      <c r="AE433" s="43">
        <f t="shared" si="383"/>
        <v>-132.14211415558171</v>
      </c>
      <c r="AF433" t="str">
        <f t="shared" si="365"/>
        <v>72.2956529813786</v>
      </c>
      <c r="AG433" t="str">
        <f t="shared" si="366"/>
        <v>1+175.197141786249i</v>
      </c>
      <c r="AH433">
        <f t="shared" si="384"/>
        <v>175.19999569084194</v>
      </c>
      <c r="AI433">
        <f t="shared" si="385"/>
        <v>1.5650885331052016</v>
      </c>
      <c r="AJ433" t="str">
        <f t="shared" si="367"/>
        <v>1+3.33708841497617i</v>
      </c>
      <c r="AK433">
        <f t="shared" si="386"/>
        <v>3.4836990526404787</v>
      </c>
      <c r="AL433">
        <f t="shared" si="387"/>
        <v>1.2796492648085984</v>
      </c>
      <c r="AM433" t="str">
        <f t="shared" si="368"/>
        <v>1-0.429670473936983i</v>
      </c>
      <c r="AN433">
        <f t="shared" si="388"/>
        <v>1.0884009905238194</v>
      </c>
      <c r="AO433">
        <f t="shared" si="389"/>
        <v>-0.40581992052911936</v>
      </c>
      <c r="AP433" s="41" t="str">
        <f t="shared" si="390"/>
        <v>1.20544850822482-0.997454674283557i</v>
      </c>
      <c r="AQ433">
        <f t="shared" si="391"/>
        <v>3.8881530458413009</v>
      </c>
      <c r="AR433" s="43">
        <f t="shared" si="392"/>
        <v>-39.606234069350805</v>
      </c>
      <c r="AS433" t="str">
        <f t="shared" si="369"/>
        <v>-0.0000166666666666667</v>
      </c>
      <c r="AT433" t="str">
        <f t="shared" si="370"/>
        <v>0.0030175799497125i</v>
      </c>
      <c r="AU433">
        <f t="shared" si="393"/>
        <v>3.0175799497124999E-3</v>
      </c>
      <c r="AV433">
        <f t="shared" si="394"/>
        <v>1.5707963267948966</v>
      </c>
      <c r="AW433" t="str">
        <f t="shared" si="371"/>
        <v>1+3.01496958643421i</v>
      </c>
      <c r="AX433">
        <f t="shared" si="395"/>
        <v>3.1764825841051403</v>
      </c>
      <c r="AY433">
        <f t="shared" si="396"/>
        <v>1.2505360373385319</v>
      </c>
      <c r="AZ433" t="str">
        <f t="shared" si="372"/>
        <v>1+102.508965938763i</v>
      </c>
      <c r="BA433">
        <f t="shared" si="397"/>
        <v>102.51384344484637</v>
      </c>
      <c r="BB433">
        <f t="shared" si="398"/>
        <v>1.5610413919844943</v>
      </c>
      <c r="BC433" s="41" t="str">
        <f t="shared" si="399"/>
        <v>-0.0544620372095731+0.169724575558279i</v>
      </c>
      <c r="BD433">
        <f t="shared" si="400"/>
        <v>-14.979479959085243</v>
      </c>
      <c r="BE433" s="43">
        <f t="shared" si="401"/>
        <v>107.7906463374264</v>
      </c>
      <c r="BF433" s="41" t="str">
        <f t="shared" si="402"/>
        <v>0.0693168746197342-0.0313727596484266i</v>
      </c>
      <c r="BG433" s="20">
        <f t="shared" si="403"/>
        <v>-22.373905122146347</v>
      </c>
      <c r="BH433" s="43">
        <f t="shared" si="404"/>
        <v>-24.351467818155296</v>
      </c>
      <c r="BI433" s="41" t="str">
        <f t="shared" si="357"/>
        <v>0.103641389722234+0.258917650001512i</v>
      </c>
      <c r="BJ433" s="20">
        <f t="shared" si="405"/>
        <v>-11.091326913243932</v>
      </c>
      <c r="BK433" s="43">
        <f t="shared" si="358"/>
        <v>68.184412268075533</v>
      </c>
      <c r="BL433">
        <f t="shared" si="406"/>
        <v>-22.373905122146347</v>
      </c>
      <c r="BM433" s="43">
        <f t="shared" si="407"/>
        <v>-24.351467818155296</v>
      </c>
    </row>
    <row r="434" spans="14:65" x14ac:dyDescent="0.25">
      <c r="N434" s="9">
        <v>16</v>
      </c>
      <c r="O434" s="34">
        <f t="shared" si="408"/>
        <v>144543.97707459307</v>
      </c>
      <c r="P434" s="33" t="str">
        <f t="shared" si="360"/>
        <v>19.6196196196196</v>
      </c>
      <c r="Q434" s="4" t="str">
        <f t="shared" si="361"/>
        <v>1+219.835394529951i</v>
      </c>
      <c r="R434" s="4">
        <f t="shared" si="373"/>
        <v>219.83766894720114</v>
      </c>
      <c r="S434" s="4">
        <f t="shared" si="374"/>
        <v>1.5662475001382339</v>
      </c>
      <c r="T434" s="4" t="str">
        <f t="shared" si="362"/>
        <v>1+3.41481918966641i</v>
      </c>
      <c r="U434" s="4">
        <f t="shared" si="375"/>
        <v>3.5582285056069622</v>
      </c>
      <c r="V434" s="4">
        <f t="shared" si="376"/>
        <v>1.28592004210545</v>
      </c>
      <c r="W434" t="str">
        <f t="shared" si="363"/>
        <v>1-1.9866800471796i</v>
      </c>
      <c r="X434" s="4">
        <f t="shared" si="377"/>
        <v>2.2241622265162087</v>
      </c>
      <c r="Y434" s="4">
        <f t="shared" si="378"/>
        <v>-1.1044704639135219</v>
      </c>
      <c r="Z434" t="str">
        <f t="shared" si="364"/>
        <v>0.97910703869146+1.32985929688756i</v>
      </c>
      <c r="AA434" s="4">
        <f t="shared" si="379"/>
        <v>1.6514164655632557</v>
      </c>
      <c r="AB434" s="4">
        <f t="shared" si="380"/>
        <v>0.93615436338182179</v>
      </c>
      <c r="AC434" s="47" t="str">
        <f t="shared" si="381"/>
        <v>-0.291580938353247-0.312892747745901i</v>
      </c>
      <c r="AD434" s="20">
        <f t="shared" si="382"/>
        <v>-7.3773568470593016</v>
      </c>
      <c r="AE434" s="43">
        <f t="shared" si="383"/>
        <v>-132.98077040054494</v>
      </c>
      <c r="AF434" t="str">
        <f t="shared" si="365"/>
        <v>72.2956529813786</v>
      </c>
      <c r="AG434" t="str">
        <f t="shared" si="366"/>
        <v>1+179.278007457486i</v>
      </c>
      <c r="AH434">
        <f t="shared" si="384"/>
        <v>179.28079640030163</v>
      </c>
      <c r="AI434">
        <f t="shared" si="385"/>
        <v>1.5652184556255433</v>
      </c>
      <c r="AJ434" t="str">
        <f t="shared" si="367"/>
        <v>1+3.41481918966641i</v>
      </c>
      <c r="AK434">
        <f t="shared" si="386"/>
        <v>3.5582285056069622</v>
      </c>
      <c r="AL434">
        <f t="shared" si="387"/>
        <v>1.28592004210545</v>
      </c>
      <c r="AM434" t="str">
        <f t="shared" si="368"/>
        <v>1-0.439678784969665i</v>
      </c>
      <c r="AN434">
        <f t="shared" si="388"/>
        <v>1.0923906965698678</v>
      </c>
      <c r="AO434">
        <f t="shared" si="389"/>
        <v>-0.41423772825245386</v>
      </c>
      <c r="AP434" s="41" t="str">
        <f t="shared" si="390"/>
        <v>1.20534427017492-1.00200078842345i</v>
      </c>
      <c r="AQ434">
        <f t="shared" si="391"/>
        <v>3.9038047852746498</v>
      </c>
      <c r="AR434" s="43">
        <f t="shared" si="392"/>
        <v>-39.736693863353786</v>
      </c>
      <c r="AS434" t="str">
        <f t="shared" si="369"/>
        <v>-0.0000166666666666667</v>
      </c>
      <c r="AT434" t="str">
        <f t="shared" si="370"/>
        <v>0.00308786841618771i</v>
      </c>
      <c r="AU434">
        <f t="shared" si="393"/>
        <v>3.0878684161877099E-3</v>
      </c>
      <c r="AV434">
        <f t="shared" si="394"/>
        <v>1.5707963267948966</v>
      </c>
      <c r="AW434" t="str">
        <f t="shared" si="371"/>
        <v>1+3.08519724973773i</v>
      </c>
      <c r="AX434">
        <f t="shared" si="395"/>
        <v>3.2432147739225128</v>
      </c>
      <c r="AY434">
        <f t="shared" si="396"/>
        <v>1.2573529761171349</v>
      </c>
      <c r="AZ434" t="str">
        <f t="shared" si="372"/>
        <v>1+104.896706491083i</v>
      </c>
      <c r="BA434">
        <f t="shared" si="397"/>
        <v>104.90147297667662</v>
      </c>
      <c r="BB434">
        <f t="shared" si="398"/>
        <v>1.561263427801094</v>
      </c>
      <c r="BC434" s="41" t="str">
        <f t="shared" si="399"/>
        <v>-0.0522438796360934+0.166580140377033i</v>
      </c>
      <c r="BD434">
        <f t="shared" si="400"/>
        <v>-15.160083182000967</v>
      </c>
      <c r="BE434" s="43">
        <f t="shared" si="401"/>
        <v>107.41278623140532</v>
      </c>
      <c r="BF434" s="41" t="str">
        <f t="shared" si="402"/>
        <v>0.067355037289974-0.0322248625899075i</v>
      </c>
      <c r="BG434" s="20">
        <f t="shared" si="403"/>
        <v>-22.537440029060267</v>
      </c>
      <c r="BH434" s="43">
        <f t="shared" si="404"/>
        <v>-25.567984169139613</v>
      </c>
      <c r="BI434" s="41" t="str">
        <f t="shared" ref="BI434:BI497" si="409">IMPRODUCT(AP434,BC434)</f>
        <v>0.103941571022403+0.253134826314056i</v>
      </c>
      <c r="BJ434" s="20">
        <f t="shared" si="405"/>
        <v>-11.256278396726314</v>
      </c>
      <c r="BK434" s="43">
        <f t="shared" ref="BK434:BK497" si="410">(180/PI())*IMARGUMENT(BI434)</f>
        <v>67.676092368051485</v>
      </c>
      <c r="BL434">
        <f t="shared" si="406"/>
        <v>-22.537440029060267</v>
      </c>
      <c r="BM434" s="43">
        <f t="shared" si="407"/>
        <v>-25.567984169139613</v>
      </c>
    </row>
    <row r="435" spans="14:65" x14ac:dyDescent="0.25">
      <c r="N435" s="9">
        <v>17</v>
      </c>
      <c r="O435" s="34">
        <f t="shared" si="408"/>
        <v>147910.83881682079</v>
      </c>
      <c r="P435" s="33" t="str">
        <f t="shared" si="360"/>
        <v>19.6196196196196</v>
      </c>
      <c r="Q435" s="4" t="str">
        <f t="shared" si="361"/>
        <v>1+224.956018677773i</v>
      </c>
      <c r="R435" s="4">
        <f t="shared" si="373"/>
        <v>224.95824132348332</v>
      </c>
      <c r="S435" s="4">
        <f t="shared" si="374"/>
        <v>1.5663510426943923</v>
      </c>
      <c r="T435" s="4" t="str">
        <f t="shared" si="362"/>
        <v>1+3.49436054669147i</v>
      </c>
      <c r="U435" s="4">
        <f t="shared" si="375"/>
        <v>3.634632805425317</v>
      </c>
      <c r="V435" s="4">
        <f t="shared" si="376"/>
        <v>1.2920704137213559</v>
      </c>
      <c r="W435" t="str">
        <f t="shared" si="363"/>
        <v>1-2.03295577018287i</v>
      </c>
      <c r="X435" s="4">
        <f t="shared" si="377"/>
        <v>2.2655924530947371</v>
      </c>
      <c r="Y435" s="4">
        <f t="shared" si="378"/>
        <v>-1.1136540239041173</v>
      </c>
      <c r="Z435" t="str">
        <f t="shared" si="364"/>
        <v>0.978122383760505+1.36083569922445i</v>
      </c>
      <c r="AA435" s="4">
        <f t="shared" si="379"/>
        <v>1.6758869884025682</v>
      </c>
      <c r="AB435" s="4">
        <f t="shared" si="380"/>
        <v>0.94758647050211775</v>
      </c>
      <c r="AC435" s="47" t="str">
        <f t="shared" si="381"/>
        <v>-0.296691241538885-0.309219235917975i</v>
      </c>
      <c r="AD435" s="20">
        <f t="shared" si="382"/>
        <v>-7.3602744531050739</v>
      </c>
      <c r="AE435" s="43">
        <f t="shared" si="383"/>
        <v>-133.81550333328511</v>
      </c>
      <c r="AF435" t="str">
        <f t="shared" si="365"/>
        <v>72.2956529813786</v>
      </c>
      <c r="AG435" t="str">
        <f t="shared" si="366"/>
        <v>1+183.453928701302i</v>
      </c>
      <c r="AH435">
        <f t="shared" si="384"/>
        <v>183.45665416098268</v>
      </c>
      <c r="AI435">
        <f t="shared" si="385"/>
        <v>1.5653454209302222</v>
      </c>
      <c r="AJ435" t="str">
        <f t="shared" si="367"/>
        <v>1+3.49436054669147i</v>
      </c>
      <c r="AK435">
        <f t="shared" si="386"/>
        <v>3.634632805425317</v>
      </c>
      <c r="AL435">
        <f t="shared" si="387"/>
        <v>1.2920704137213559</v>
      </c>
      <c r="AM435" t="str">
        <f t="shared" si="368"/>
        <v>1-0.449920219513973i</v>
      </c>
      <c r="AN435">
        <f t="shared" si="388"/>
        <v>1.0965528732931675</v>
      </c>
      <c r="AO435">
        <f t="shared" si="389"/>
        <v>-0.42278757863367583</v>
      </c>
      <c r="AP435" s="41" t="str">
        <f t="shared" si="390"/>
        <v>1.20524472332472-1.00707812429454i</v>
      </c>
      <c r="AQ435">
        <f t="shared" si="391"/>
        <v>3.9213767063113081</v>
      </c>
      <c r="AR435" s="43">
        <f t="shared" si="392"/>
        <v>-39.881448445740233</v>
      </c>
      <c r="AS435" t="str">
        <f t="shared" si="369"/>
        <v>-0.0000166666666666667</v>
      </c>
      <c r="AT435" t="str">
        <f t="shared" si="370"/>
        <v>0.00315979411136995i</v>
      </c>
      <c r="AU435">
        <f t="shared" si="393"/>
        <v>3.1597941113699502E-3</v>
      </c>
      <c r="AV435">
        <f t="shared" si="394"/>
        <v>1.5707963267948966</v>
      </c>
      <c r="AW435" t="str">
        <f t="shared" si="371"/>
        <v>1+3.15706072546047i</v>
      </c>
      <c r="AX435">
        <f t="shared" si="395"/>
        <v>3.3116510118436375</v>
      </c>
      <c r="AY435">
        <f t="shared" si="396"/>
        <v>1.2640439785130335</v>
      </c>
      <c r="AZ435" t="str">
        <f t="shared" si="372"/>
        <v>1+107.340064665656i</v>
      </c>
      <c r="BA435">
        <f t="shared" si="397"/>
        <v>107.34472265755413</v>
      </c>
      <c r="BB435">
        <f t="shared" si="398"/>
        <v>1.5614804103737441</v>
      </c>
      <c r="BC435" s="41" t="str">
        <f t="shared" si="399"/>
        <v>-0.0501069204681521+0.163465195952104i</v>
      </c>
      <c r="BD435">
        <f t="shared" si="400"/>
        <v>-15.341478025114935</v>
      </c>
      <c r="BE435" s="43">
        <f t="shared" si="401"/>
        <v>107.04185221904913</v>
      </c>
      <c r="BF435" s="41" t="str">
        <f t="shared" si="402"/>
        <v>0.0654128674348779-0.0330046682740621i</v>
      </c>
      <c r="BG435" s="20">
        <f t="shared" si="403"/>
        <v>-22.701752478220001</v>
      </c>
      <c r="BH435" s="43">
        <f t="shared" si="404"/>
        <v>-26.77365111423596</v>
      </c>
      <c r="BI435" s="41" t="str">
        <f t="shared" si="409"/>
        <v>0.104231121430593+0.247477148347757i</v>
      </c>
      <c r="BJ435" s="20">
        <f t="shared" si="405"/>
        <v>-11.420101318803621</v>
      </c>
      <c r="BK435" s="43">
        <f t="shared" si="410"/>
        <v>67.160403773308815</v>
      </c>
      <c r="BL435">
        <f t="shared" si="406"/>
        <v>-22.701752478220001</v>
      </c>
      <c r="BM435" s="43">
        <f t="shared" si="407"/>
        <v>-26.77365111423596</v>
      </c>
    </row>
    <row r="436" spans="14:65" x14ac:dyDescent="0.25">
      <c r="N436" s="9">
        <v>18</v>
      </c>
      <c r="O436" s="34">
        <f t="shared" si="408"/>
        <v>151356.12484362084</v>
      </c>
      <c r="P436" s="33" t="str">
        <f t="shared" si="360"/>
        <v>19.6196196196196</v>
      </c>
      <c r="Q436" s="4" t="str">
        <f t="shared" si="361"/>
        <v>1+230.195917484344i</v>
      </c>
      <c r="R436" s="4">
        <f t="shared" si="373"/>
        <v>230.19808953694408</v>
      </c>
      <c r="S436" s="4">
        <f t="shared" si="374"/>
        <v>1.5664522284263267</v>
      </c>
      <c r="T436" s="4" t="str">
        <f t="shared" si="362"/>
        <v>1+3.57575465993173i</v>
      </c>
      <c r="U436" s="4">
        <f t="shared" si="375"/>
        <v>3.7129531895815067</v>
      </c>
      <c r="V436" s="4">
        <f t="shared" si="376"/>
        <v>1.2981017787434175</v>
      </c>
      <c r="W436" t="str">
        <f t="shared" si="363"/>
        <v>1-2.08030939324486i</v>
      </c>
      <c r="X436" s="4">
        <f t="shared" si="377"/>
        <v>2.3081783231853636</v>
      </c>
      <c r="Y436" s="4">
        <f t="shared" si="378"/>
        <v>-1.1227094314480051</v>
      </c>
      <c r="Z436" t="str">
        <f t="shared" si="364"/>
        <v>0.977091323472322+1.39253363466186i</v>
      </c>
      <c r="AA436" s="4">
        <f t="shared" si="379"/>
        <v>1.7011341446427628</v>
      </c>
      <c r="AB436" s="4">
        <f t="shared" si="380"/>
        <v>0.95895416641784792</v>
      </c>
      <c r="AC436" s="47" t="str">
        <f t="shared" si="381"/>
        <v>-0.301733375078172-0.305486309294312i</v>
      </c>
      <c r="AD436" s="20">
        <f t="shared" si="382"/>
        <v>-7.343217229651855</v>
      </c>
      <c r="AE436" s="43">
        <f t="shared" si="383"/>
        <v>-134.64588672099998</v>
      </c>
      <c r="AF436" t="str">
        <f t="shared" si="365"/>
        <v>72.2956529813786</v>
      </c>
      <c r="AG436" t="str">
        <f t="shared" si="366"/>
        <v>1+187.727119646416i</v>
      </c>
      <c r="AH436">
        <f t="shared" si="384"/>
        <v>187.72978306795059</v>
      </c>
      <c r="AI436">
        <f t="shared" si="385"/>
        <v>1.565469496321541</v>
      </c>
      <c r="AJ436" t="str">
        <f t="shared" si="367"/>
        <v>1+3.57575465993173i</v>
      </c>
      <c r="AK436">
        <f t="shared" si="386"/>
        <v>3.7129531895815067</v>
      </c>
      <c r="AL436">
        <f t="shared" si="387"/>
        <v>1.2981017787434175</v>
      </c>
      <c r="AM436" t="str">
        <f t="shared" si="368"/>
        <v>1-0.460400207714068i</v>
      </c>
      <c r="AN436">
        <f t="shared" si="388"/>
        <v>1.1008943415528836</v>
      </c>
      <c r="AO436">
        <f t="shared" si="389"/>
        <v>-0.43146900392407384</v>
      </c>
      <c r="AP436" s="41" t="str">
        <f t="shared" si="390"/>
        <v>1.20514965656057-1.01268937746145i</v>
      </c>
      <c r="AQ436">
        <f t="shared" si="391"/>
        <v>3.9408823969769795</v>
      </c>
      <c r="AR436" s="43">
        <f t="shared" si="392"/>
        <v>-40.040394710835052</v>
      </c>
      <c r="AS436" t="str">
        <f t="shared" si="369"/>
        <v>-0.0000166666666666667</v>
      </c>
      <c r="AT436" t="str">
        <f t="shared" si="370"/>
        <v>0.00323339517121486i</v>
      </c>
      <c r="AU436">
        <f t="shared" si="393"/>
        <v>3.23339517121486E-3</v>
      </c>
      <c r="AV436">
        <f t="shared" si="394"/>
        <v>1.5707963267948966</v>
      </c>
      <c r="AW436" t="str">
        <f t="shared" si="371"/>
        <v>1+3.23059811656849i</v>
      </c>
      <c r="AX436">
        <f t="shared" si="395"/>
        <v>3.3818285277015265</v>
      </c>
      <c r="AY436">
        <f t="shared" si="396"/>
        <v>1.2706101949209621</v>
      </c>
      <c r="AZ436" t="str">
        <f t="shared" si="372"/>
        <v>1+109.840335963328i</v>
      </c>
      <c r="BA436">
        <f t="shared" si="397"/>
        <v>109.84488793083075</v>
      </c>
      <c r="BB436">
        <f t="shared" si="398"/>
        <v>1.5616924546677031</v>
      </c>
      <c r="BC436" s="41" t="str">
        <f t="shared" si="399"/>
        <v>-0.0480489247034134+0.16038130624405i</v>
      </c>
      <c r="BD436">
        <f t="shared" si="400"/>
        <v>-15.523635380482528</v>
      </c>
      <c r="BE436" s="43">
        <f t="shared" si="401"/>
        <v>106.67778497461894</v>
      </c>
      <c r="BF436" s="41" t="str">
        <f t="shared" si="402"/>
        <v>0.0634922575439335-0.0337141041592571i</v>
      </c>
      <c r="BG436" s="20">
        <f t="shared" si="403"/>
        <v>-22.86685261013438</v>
      </c>
      <c r="BH436" s="43">
        <f t="shared" si="404"/>
        <v>-27.968101746381087</v>
      </c>
      <c r="BI436" s="41" t="str">
        <f t="shared" si="409"/>
        <v>0.104510300072318+0.241942111784344i</v>
      </c>
      <c r="BJ436" s="20">
        <f t="shared" si="405"/>
        <v>-11.582752983505554</v>
      </c>
      <c r="BK436" s="43">
        <f t="shared" si="410"/>
        <v>66.637390263783843</v>
      </c>
      <c r="BL436">
        <f t="shared" si="406"/>
        <v>-22.86685261013438</v>
      </c>
      <c r="BM436" s="43">
        <f t="shared" si="407"/>
        <v>-27.968101746381087</v>
      </c>
    </row>
    <row r="437" spans="14:65" x14ac:dyDescent="0.25">
      <c r="N437" s="9">
        <v>19</v>
      </c>
      <c r="O437" s="34">
        <f t="shared" si="408"/>
        <v>154881.66189124843</v>
      </c>
      <c r="P437" s="33" t="str">
        <f t="shared" si="360"/>
        <v>19.6196196196196</v>
      </c>
      <c r="Q437" s="4" t="str">
        <f t="shared" si="361"/>
        <v>1+235.557869213368i</v>
      </c>
      <c r="R437" s="4">
        <f t="shared" si="373"/>
        <v>235.55999182446536</v>
      </c>
      <c r="S437" s="4">
        <f t="shared" si="374"/>
        <v>1.5665511109757588</v>
      </c>
      <c r="T437" s="4" t="str">
        <f t="shared" si="362"/>
        <v>1+3.6590446856234i</v>
      </c>
      <c r="U437" s="4">
        <f t="shared" si="375"/>
        <v>3.7932318689198063</v>
      </c>
      <c r="V437" s="4">
        <f t="shared" si="376"/>
        <v>1.3040155791510153</v>
      </c>
      <c r="W437" t="str">
        <f t="shared" si="363"/>
        <v>1-2.1287660238833i</v>
      </c>
      <c r="X437" s="4">
        <f t="shared" si="377"/>
        <v>2.3519448940057917</v>
      </c>
      <c r="Y437" s="4">
        <f t="shared" si="378"/>
        <v>-1.1316355464893215</v>
      </c>
      <c r="Z437" t="str">
        <f t="shared" si="364"/>
        <v>0.976011670809805+1.42496990986474i</v>
      </c>
      <c r="AA437" s="4">
        <f t="shared" si="379"/>
        <v>1.7271763157179036</v>
      </c>
      <c r="AB437" s="4">
        <f t="shared" si="380"/>
        <v>0.97025286281558576</v>
      </c>
      <c r="AC437" s="47" t="str">
        <f t="shared" si="381"/>
        <v>-0.306703453679352-0.301696542729027i</v>
      </c>
      <c r="AD437" s="20">
        <f t="shared" si="382"/>
        <v>-7.3262217759781079</v>
      </c>
      <c r="AE437" s="43">
        <f t="shared" si="383"/>
        <v>-135.47151280641742</v>
      </c>
      <c r="AF437" t="str">
        <f t="shared" si="365"/>
        <v>72.2956529813786</v>
      </c>
      <c r="AG437" t="str">
        <f t="shared" si="366"/>
        <v>1+192.099845995228i</v>
      </c>
      <c r="AH437">
        <f t="shared" si="384"/>
        <v>192.10244879071769</v>
      </c>
      <c r="AI437">
        <f t="shared" si="385"/>
        <v>1.5655907475706243</v>
      </c>
      <c r="AJ437" t="str">
        <f t="shared" si="367"/>
        <v>1+3.6590446856234i</v>
      </c>
      <c r="AK437">
        <f t="shared" si="386"/>
        <v>3.7932318689198063</v>
      </c>
      <c r="AL437">
        <f t="shared" si="387"/>
        <v>1.3040155791510153</v>
      </c>
      <c r="AM437" t="str">
        <f t="shared" si="368"/>
        <v>1-0.47112430619841i</v>
      </c>
      <c r="AN437">
        <f t="shared" si="388"/>
        <v>1.1054221419398715</v>
      </c>
      <c r="AO437">
        <f t="shared" si="389"/>
        <v>-0.44028137174267329</v>
      </c>
      <c r="AP437" s="41" t="str">
        <f t="shared" si="390"/>
        <v>1.20505886826828-1.01883752634563i</v>
      </c>
      <c r="AQ437">
        <f t="shared" si="391"/>
        <v>3.9623366740150106</v>
      </c>
      <c r="AR437" s="43">
        <f t="shared" si="392"/>
        <v>-40.213417574952842</v>
      </c>
      <c r="AS437" t="str">
        <f t="shared" si="369"/>
        <v>-0.0000166666666666667</v>
      </c>
      <c r="AT437" t="str">
        <f t="shared" si="370"/>
        <v>0.00330871061997861i</v>
      </c>
      <c r="AU437">
        <f t="shared" si="393"/>
        <v>3.30871061997861E-3</v>
      </c>
      <c r="AV437">
        <f t="shared" si="394"/>
        <v>1.5707963267948966</v>
      </c>
      <c r="AW437" t="str">
        <f t="shared" si="371"/>
        <v>1+3.30584841355994i</v>
      </c>
      <c r="AX437">
        <f t="shared" si="395"/>
        <v>3.4537854208732726</v>
      </c>
      <c r="AY437">
        <f t="shared" si="396"/>
        <v>1.2770528411934479</v>
      </c>
      <c r="AZ437" t="str">
        <f t="shared" si="372"/>
        <v>1+112.398846061038i</v>
      </c>
      <c r="BA437">
        <f t="shared" si="397"/>
        <v>112.40329441725861</v>
      </c>
      <c r="BB437">
        <f t="shared" si="398"/>
        <v>1.561899673035346</v>
      </c>
      <c r="BC437" s="41" t="str">
        <f t="shared" si="399"/>
        <v>-0.0460676581856089+0.15732990365476i</v>
      </c>
      <c r="BD437">
        <f t="shared" si="400"/>
        <v>-15.70652695193157</v>
      </c>
      <c r="BE437" s="43">
        <f t="shared" si="401"/>
        <v>106.32052127221348</v>
      </c>
      <c r="BF437" s="41" t="str">
        <f t="shared" si="402"/>
        <v>0.0615949978689781-0.0343551716117338i</v>
      </c>
      <c r="BG437" s="20">
        <f t="shared" si="403"/>
        <v>-23.032748727909684</v>
      </c>
      <c r="BH437" s="43">
        <f t="shared" si="404"/>
        <v>-29.150991534203936</v>
      </c>
      <c r="BI437" s="41" t="str">
        <f t="shared" si="409"/>
        <v>0.104779369822892+0.236527254553324i</v>
      </c>
      <c r="BJ437" s="20">
        <f t="shared" si="405"/>
        <v>-11.744190277916575</v>
      </c>
      <c r="BK437" s="43">
        <f t="shared" si="410"/>
        <v>66.107103697260641</v>
      </c>
      <c r="BL437">
        <f t="shared" si="406"/>
        <v>-23.032748727909684</v>
      </c>
      <c r="BM437" s="43">
        <f t="shared" si="407"/>
        <v>-29.150991534203936</v>
      </c>
    </row>
    <row r="438" spans="14:65" x14ac:dyDescent="0.25">
      <c r="N438" s="9">
        <v>20</v>
      </c>
      <c r="O438" s="34">
        <f t="shared" si="408"/>
        <v>158489.31924611164</v>
      </c>
      <c r="P438" s="33" t="str">
        <f t="shared" si="360"/>
        <v>19.6196196196196</v>
      </c>
      <c r="Q438" s="4" t="str">
        <f t="shared" si="361"/>
        <v>1+241.044716842626i</v>
      </c>
      <c r="R438" s="4">
        <f t="shared" si="373"/>
        <v>241.04679113761654</v>
      </c>
      <c r="S438" s="4">
        <f t="shared" si="374"/>
        <v>1.5666477427637859</v>
      </c>
      <c r="T438" s="4" t="str">
        <f t="shared" si="362"/>
        <v>1+3.74427478524055i</v>
      </c>
      <c r="U438" s="4">
        <f t="shared" si="375"/>
        <v>3.8755120522826609</v>
      </c>
      <c r="V438" s="4">
        <f t="shared" si="376"/>
        <v>1.3098132952699808</v>
      </c>
      <c r="W438" t="str">
        <f t="shared" si="363"/>
        <v>1-2.17835135444514i</v>
      </c>
      <c r="X438" s="4">
        <f t="shared" si="377"/>
        <v>2.3969177339685599</v>
      </c>
      <c r="Y438" s="4">
        <f t="shared" si="378"/>
        <v>-1.1404314112278755</v>
      </c>
      <c r="Z438" t="str">
        <f t="shared" si="364"/>
        <v>0.974881135684904+1.45816172297552i</v>
      </c>
      <c r="AA438" s="4">
        <f t="shared" si="379"/>
        <v>1.7540321659152165</v>
      </c>
      <c r="AB438" s="4">
        <f t="shared" si="380"/>
        <v>0.98147815860783616</v>
      </c>
      <c r="AC438" s="47" t="str">
        <f t="shared" si="381"/>
        <v>-0.31159784765864-0.297852696283374i</v>
      </c>
      <c r="AD438" s="20">
        <f t="shared" si="382"/>
        <v>-7.3093220838794437</v>
      </c>
      <c r="AE438" s="43">
        <f t="shared" si="383"/>
        <v>-136.29199273497565</v>
      </c>
      <c r="AF438" t="str">
        <f t="shared" si="365"/>
        <v>72.2956529813786</v>
      </c>
      <c r="AG438" t="str">
        <f t="shared" si="366"/>
        <v>1+196.574426225129i</v>
      </c>
      <c r="AH438">
        <f t="shared" si="384"/>
        <v>196.5769697745356</v>
      </c>
      <c r="AI438">
        <f t="shared" si="385"/>
        <v>1.5657092389522205</v>
      </c>
      <c r="AJ438" t="str">
        <f t="shared" si="367"/>
        <v>1+3.74427478524055i</v>
      </c>
      <c r="AK438">
        <f t="shared" si="386"/>
        <v>3.8755120522826609</v>
      </c>
      <c r="AL438">
        <f t="shared" si="387"/>
        <v>1.3098132952699808</v>
      </c>
      <c r="AM438" t="str">
        <f t="shared" si="368"/>
        <v>1-0.482098201025965i</v>
      </c>
      <c r="AN438">
        <f t="shared" si="388"/>
        <v>1.1101435382113756</v>
      </c>
      <c r="AO438">
        <f t="shared" si="389"/>
        <v>-0.44922387871045039</v>
      </c>
      <c r="AP438" s="41" t="str">
        <f t="shared" si="390"/>
        <v>1.20497216590577-1.0255258338201i</v>
      </c>
      <c r="AQ438">
        <f t="shared" si="391"/>
        <v>3.9857555143696199</v>
      </c>
      <c r="AR438" s="43">
        <f t="shared" si="392"/>
        <v>-40.400389874115184</v>
      </c>
      <c r="AS438" t="str">
        <f t="shared" si="369"/>
        <v>-0.0000166666666666667</v>
      </c>
      <c r="AT438" t="str">
        <f t="shared" si="370"/>
        <v>0.00338578039090902i</v>
      </c>
      <c r="AU438">
        <f t="shared" si="393"/>
        <v>3.3857803909090201E-3</v>
      </c>
      <c r="AV438">
        <f t="shared" si="394"/>
        <v>1.5707963267948966</v>
      </c>
      <c r="AW438" t="str">
        <f t="shared" si="371"/>
        <v>1+3.38285151513834i</v>
      </c>
      <c r="AX438">
        <f t="shared" si="395"/>
        <v>3.5275606831738227</v>
      </c>
      <c r="AY438">
        <f t="shared" si="396"/>
        <v>1.2833731931671049</v>
      </c>
      <c r="AZ438" t="str">
        <f t="shared" si="372"/>
        <v>1+115.016951514703i</v>
      </c>
      <c r="BA438">
        <f t="shared" si="397"/>
        <v>115.02129861784529</v>
      </c>
      <c r="BB438">
        <f t="shared" si="398"/>
        <v>1.5621021752753705</v>
      </c>
      <c r="BC438" s="41" t="str">
        <f t="shared" si="399"/>
        <v>-0.0441608935874896+0.154312293833977i</v>
      </c>
      <c r="BD438">
        <f t="shared" si="400"/>
        <v>-15.8901252537263</v>
      </c>
      <c r="BE438" s="43">
        <f t="shared" si="401"/>
        <v>105.96999430278102</v>
      </c>
      <c r="BF438" s="41" t="str">
        <f t="shared" si="402"/>
        <v>0.0597227721806663-0.0349299374006179i</v>
      </c>
      <c r="BG438" s="20">
        <f t="shared" si="403"/>
        <v>-23.199447337605747</v>
      </c>
      <c r="BH438" s="43">
        <f t="shared" si="404"/>
        <v>-30.321998432194626</v>
      </c>
      <c r="BI438" s="41" t="str">
        <f t="shared" si="409"/>
        <v>0.10503859620833+0.231230156145566i</v>
      </c>
      <c r="BJ438" s="20">
        <f t="shared" si="405"/>
        <v>-11.904369739356675</v>
      </c>
      <c r="BK438" s="43">
        <f t="shared" si="410"/>
        <v>65.569604428665855</v>
      </c>
      <c r="BL438">
        <f t="shared" si="406"/>
        <v>-23.199447337605747</v>
      </c>
      <c r="BM438" s="43">
        <f t="shared" si="407"/>
        <v>-30.321998432194626</v>
      </c>
    </row>
    <row r="439" spans="14:65" x14ac:dyDescent="0.25">
      <c r="N439" s="9">
        <v>21</v>
      </c>
      <c r="O439" s="34">
        <f t="shared" si="408"/>
        <v>162181.00973589328</v>
      </c>
      <c r="P439" s="33" t="str">
        <f t="shared" si="360"/>
        <v>19.6196196196196</v>
      </c>
      <c r="Q439" s="4" t="str">
        <f t="shared" si="361"/>
        <v>1+246.659369571357i</v>
      </c>
      <c r="R439" s="4">
        <f t="shared" si="373"/>
        <v>246.66139665002157</v>
      </c>
      <c r="S439" s="4">
        <f t="shared" si="374"/>
        <v>1.5667421750186383</v>
      </c>
      <c r="T439" s="4" t="str">
        <f t="shared" si="362"/>
        <v>1+3.83149014891017i</v>
      </c>
      <c r="U439" s="4">
        <f t="shared" si="375"/>
        <v>3.9598379715836449</v>
      </c>
      <c r="V439" s="4">
        <f t="shared" si="376"/>
        <v>1.3154964414398755</v>
      </c>
      <c r="W439" t="str">
        <f t="shared" si="363"/>
        <v>1-2.22909167572899i</v>
      </c>
      <c r="X439" s="4">
        <f t="shared" si="377"/>
        <v>2.4431229397646526</v>
      </c>
      <c r="Y439" s="4">
        <f t="shared" si="378"/>
        <v>-1.1490962442329684</v>
      </c>
      <c r="Z439" t="str">
        <f t="shared" si="364"/>
        <v>0.973697320081046+1.49212667273287i</v>
      </c>
      <c r="AA439" s="4">
        <f t="shared" si="379"/>
        <v>1.7817206511161834</v>
      </c>
      <c r="AB439" s="4">
        <f t="shared" si="380"/>
        <v>0.99262584739304549</v>
      </c>
      <c r="AC439" s="47" t="str">
        <f t="shared" si="381"/>
        <v>-0.31641319000006-0.293957694060396i</v>
      </c>
      <c r="AD439" s="20">
        <f t="shared" si="382"/>
        <v>-7.2925495889557155</v>
      </c>
      <c r="AE439" s="43">
        <f t="shared" si="383"/>
        <v>-137.1069568948331</v>
      </c>
      <c r="AF439" t="str">
        <f t="shared" si="365"/>
        <v>72.2956529813786</v>
      </c>
      <c r="AG439" t="str">
        <f t="shared" si="366"/>
        <v>1+201.153232817784i</v>
      </c>
      <c r="AH439">
        <f t="shared" si="384"/>
        <v>201.15571846966125</v>
      </c>
      <c r="AI439">
        <f t="shared" si="385"/>
        <v>1.5658250332787116</v>
      </c>
      <c r="AJ439" t="str">
        <f t="shared" si="367"/>
        <v>1+3.83149014891017i</v>
      </c>
      <c r="AK439">
        <f t="shared" si="386"/>
        <v>3.9598379715836449</v>
      </c>
      <c r="AL439">
        <f t="shared" si="387"/>
        <v>1.3154964414398755</v>
      </c>
      <c r="AM439" t="str">
        <f t="shared" si="368"/>
        <v>1-0.493327710701026i</v>
      </c>
      <c r="AN439">
        <f t="shared" si="388"/>
        <v>1.1150660205321994</v>
      </c>
      <c r="AO439">
        <f t="shared" si="389"/>
        <v>-0.45829554431883796</v>
      </c>
      <c r="AP439" s="41" t="str">
        <f t="shared" si="390"/>
        <v>1.20488936559496-1.03275784895405i</v>
      </c>
      <c r="AQ439">
        <f t="shared" si="391"/>
        <v>4.0111559803872314</v>
      </c>
      <c r="AR439" s="43">
        <f t="shared" si="392"/>
        <v>-40.601172262938519</v>
      </c>
      <c r="AS439" t="str">
        <f t="shared" si="369"/>
        <v>-0.0000166666666666667</v>
      </c>
      <c r="AT439" t="str">
        <f t="shared" si="370"/>
        <v>0.00346464534741879i</v>
      </c>
      <c r="AU439">
        <f t="shared" si="393"/>
        <v>3.4646453474187901E-3</v>
      </c>
      <c r="AV439">
        <f t="shared" si="394"/>
        <v>1.5707963267948966</v>
      </c>
      <c r="AW439" t="str">
        <f t="shared" si="371"/>
        <v>1+3.46164824936738i</v>
      </c>
      <c r="AX439">
        <f t="shared" si="395"/>
        <v>3.6031942221240647</v>
      </c>
      <c r="AY439">
        <f t="shared" si="396"/>
        <v>1.2895725813943586</v>
      </c>
      <c r="AZ439" t="str">
        <f t="shared" si="372"/>
        <v>1+117.696040478491i</v>
      </c>
      <c r="BA439">
        <f t="shared" si="397"/>
        <v>117.70028863309804</v>
      </c>
      <c r="BB439">
        <f t="shared" si="398"/>
        <v>1.5623000686906741</v>
      </c>
      <c r="BC439" s="41" t="str">
        <f t="shared" si="399"/>
        <v>-0.0423264158782036+0.151329660604819i</v>
      </c>
      <c r="BD439">
        <f t="shared" si="400"/>
        <v>-16.074403607143864</v>
      </c>
      <c r="BE439" s="43">
        <f t="shared" si="401"/>
        <v>105.62613397928664</v>
      </c>
      <c r="BF439" s="41" t="str">
        <f t="shared" si="402"/>
        <v>0.0578771543436265-0.0354405250441991i</v>
      </c>
      <c r="BG439" s="20">
        <f t="shared" si="403"/>
        <v>-23.366953196099587</v>
      </c>
      <c r="BH439" s="43">
        <f t="shared" si="404"/>
        <v>-31.480822915546458</v>
      </c>
      <c r="BI439" s="41" t="str">
        <f t="shared" si="409"/>
        <v>0.105288246393782+0.226048436978149i</v>
      </c>
      <c r="BJ439" s="20">
        <f t="shared" si="405"/>
        <v>-12.063247626756638</v>
      </c>
      <c r="BK439" s="43">
        <f t="shared" si="410"/>
        <v>65.024961716348159</v>
      </c>
      <c r="BL439">
        <f t="shared" si="406"/>
        <v>-23.366953196099587</v>
      </c>
      <c r="BM439" s="43">
        <f t="shared" si="407"/>
        <v>-31.480822915546458</v>
      </c>
    </row>
    <row r="440" spans="14:65" x14ac:dyDescent="0.25">
      <c r="N440" s="9">
        <v>22</v>
      </c>
      <c r="O440" s="34">
        <f t="shared" si="408"/>
        <v>165958.69074375604</v>
      </c>
      <c r="P440" s="33" t="str">
        <f t="shared" si="360"/>
        <v>19.6196196196196</v>
      </c>
      <c r="Q440" s="4" t="str">
        <f t="shared" si="361"/>
        <v>1+252.404804362759i</v>
      </c>
      <c r="R440" s="4">
        <f t="shared" si="373"/>
        <v>252.40678529984621</v>
      </c>
      <c r="S440" s="4">
        <f t="shared" si="374"/>
        <v>1.5668344578028071</v>
      </c>
      <c r="T440" s="4" t="str">
        <f t="shared" si="362"/>
        <v>1+3.92073701937253i</v>
      </c>
      <c r="U440" s="4">
        <f t="shared" si="375"/>
        <v>4.0462549073282803</v>
      </c>
      <c r="V440" s="4">
        <f t="shared" si="376"/>
        <v>1.3210665618928448</v>
      </c>
      <c r="W440" t="str">
        <f t="shared" si="363"/>
        <v>1-2.28101389092485i</v>
      </c>
      <c r="X440" s="4">
        <f t="shared" si="377"/>
        <v>2.4905871537836464</v>
      </c>
      <c r="Y440" s="4">
        <f t="shared" si="378"/>
        <v>-1.1576294342796007</v>
      </c>
      <c r="Z440" t="str">
        <f t="shared" si="364"/>
        <v>0.972457712966618+1.52688276780275i</v>
      </c>
      <c r="AA440" s="4">
        <f t="shared" si="379"/>
        <v>1.8102610281728022</v>
      </c>
      <c r="AB440" s="4">
        <f t="shared" si="380"/>
        <v>1.0036919239262996</v>
      </c>
      <c r="AC440" s="47" t="str">
        <f t="shared" si="381"/>
        <v>-0.321146381565072-0.290014602920804i</v>
      </c>
      <c r="AD440" s="20">
        <f t="shared" si="382"/>
        <v>-7.2759332305917841</v>
      </c>
      <c r="AE440" s="43">
        <f t="shared" si="383"/>
        <v>-137.91605517213225</v>
      </c>
      <c r="AF440" t="str">
        <f t="shared" si="365"/>
        <v>72.2956529813786</v>
      </c>
      <c r="AG440" t="str">
        <f t="shared" si="366"/>
        <v>1+205.838693517058i</v>
      </c>
      <c r="AH440">
        <f t="shared" si="384"/>
        <v>205.84112258926626</v>
      </c>
      <c r="AI440">
        <f t="shared" si="385"/>
        <v>1.5659381919333544</v>
      </c>
      <c r="AJ440" t="str">
        <f t="shared" si="367"/>
        <v>1+3.92073701937253i</v>
      </c>
      <c r="AK440">
        <f t="shared" si="386"/>
        <v>4.0462549073282803</v>
      </c>
      <c r="AL440">
        <f t="shared" si="387"/>
        <v>1.3210665618928448</v>
      </c>
      <c r="AM440" t="str">
        <f t="shared" si="368"/>
        <v>1-0.504818789258269i</v>
      </c>
      <c r="AN440">
        <f t="shared" si="388"/>
        <v>1.1201973085078292</v>
      </c>
      <c r="AO440">
        <f t="shared" si="389"/>
        <v>-0.46749520508224623</v>
      </c>
      <c r="AP440" s="41" t="str">
        <f t="shared" si="390"/>
        <v>1.20481029173197-1.04053740890811i</v>
      </c>
      <c r="AQ440">
        <f t="shared" si="391"/>
        <v>4.0385561388746023</v>
      </c>
      <c r="AR440" s="43">
        <f t="shared" si="392"/>
        <v>-40.815613117625681</v>
      </c>
      <c r="AS440" t="str">
        <f t="shared" si="369"/>
        <v>-0.0000166666666666667</v>
      </c>
      <c r="AT440" t="str">
        <f t="shared" si="370"/>
        <v>0.00354534730475176i</v>
      </c>
      <c r="AU440">
        <f t="shared" si="393"/>
        <v>3.5453473047517602E-3</v>
      </c>
      <c r="AV440">
        <f t="shared" si="394"/>
        <v>1.5707963267948966</v>
      </c>
      <c r="AW440" t="str">
        <f t="shared" si="371"/>
        <v>1+3.54228039531859i</v>
      </c>
      <c r="AX440">
        <f t="shared" si="395"/>
        <v>3.6807268846055976</v>
      </c>
      <c r="AY440">
        <f t="shared" si="396"/>
        <v>1.2956523860847529</v>
      </c>
      <c r="AZ440" t="str">
        <f t="shared" si="372"/>
        <v>1+120.437533440832i</v>
      </c>
      <c r="BA440">
        <f t="shared" si="397"/>
        <v>120.4416848990063</v>
      </c>
      <c r="BB440">
        <f t="shared" si="398"/>
        <v>1.5624934581449306</v>
      </c>
      <c r="BC440" s="41" t="str">
        <f t="shared" si="399"/>
        <v>-0.0405620272935851+0.148383070970128i</v>
      </c>
      <c r="BD440">
        <f t="shared" si="400"/>
        <v>-16.259336135150168</v>
      </c>
      <c r="BE440" s="43">
        <f t="shared" si="401"/>
        <v>105.28886722979441</v>
      </c>
      <c r="BF440" s="41" t="str">
        <f t="shared" si="402"/>
        <v>0.0560596057018497-0.035889106088358i</v>
      </c>
      <c r="BG440" s="20">
        <f t="shared" si="403"/>
        <v>-23.53526936574195</v>
      </c>
      <c r="BH440" s="43">
        <f t="shared" si="404"/>
        <v>-32.627187942337862</v>
      </c>
      <c r="BI440" s="41" t="str">
        <f t="shared" si="409"/>
        <v>0.105528588256261+0.220979757803733i</v>
      </c>
      <c r="BJ440" s="20">
        <f t="shared" si="405"/>
        <v>-12.220779996275549</v>
      </c>
      <c r="BK440" s="43">
        <f t="shared" si="410"/>
        <v>64.473254112168732</v>
      </c>
      <c r="BL440">
        <f t="shared" si="406"/>
        <v>-23.53526936574195</v>
      </c>
      <c r="BM440" s="43">
        <f t="shared" si="407"/>
        <v>-32.627187942337862</v>
      </c>
    </row>
    <row r="441" spans="14:65" x14ac:dyDescent="0.25">
      <c r="N441" s="9">
        <v>23</v>
      </c>
      <c r="O441" s="34">
        <f t="shared" si="408"/>
        <v>169824.36524617471</v>
      </c>
      <c r="P441" s="33" t="str">
        <f t="shared" si="360"/>
        <v>19.6196196196196</v>
      </c>
      <c r="Q441" s="4" t="str">
        <f t="shared" si="361"/>
        <v>1+258.284067522405i</v>
      </c>
      <c r="R441" s="4">
        <f t="shared" si="373"/>
        <v>258.28600336820085</v>
      </c>
      <c r="S441" s="4">
        <f t="shared" si="374"/>
        <v>1.5669246400395551</v>
      </c>
      <c r="T441" s="4" t="str">
        <f t="shared" si="362"/>
        <v>1+4.01206271649963i</v>
      </c>
      <c r="U441" s="4">
        <f t="shared" si="375"/>
        <v>4.1348092145982243</v>
      </c>
      <c r="V441" s="4">
        <f t="shared" si="376"/>
        <v>1.3265252268416035</v>
      </c>
      <c r="W441" t="str">
        <f t="shared" si="363"/>
        <v>1-2.33414552987844i</v>
      </c>
      <c r="X441" s="4">
        <f t="shared" si="377"/>
        <v>2.5393375818609671</v>
      </c>
      <c r="Y441" s="4">
        <f t="shared" si="378"/>
        <v>-1.1660305339564856</v>
      </c>
      <c r="Z441" t="str">
        <f t="shared" si="364"/>
        <v>0.971159684968734+1.56244843632679i</v>
      </c>
      <c r="AA441" s="4">
        <f t="shared" si="379"/>
        <v>1.8396728649106617</v>
      </c>
      <c r="AB441" s="4">
        <f t="shared" si="380"/>
        <v>1.0146725895988782</v>
      </c>
      <c r="AC441" s="47" t="str">
        <f t="shared" si="381"/>
        <v>-0.325794594488216-0.286026611259161i</v>
      </c>
      <c r="AD441" s="20">
        <f t="shared" si="382"/>
        <v>-7.2594995197119605</v>
      </c>
      <c r="AE441" s="43">
        <f t="shared" si="383"/>
        <v>-138.71895712438223</v>
      </c>
      <c r="AF441" t="str">
        <f t="shared" si="365"/>
        <v>72.2956529813786</v>
      </c>
      <c r="AG441" t="str">
        <f t="shared" si="366"/>
        <v>1+210.633292616231i</v>
      </c>
      <c r="AH441">
        <f t="shared" si="384"/>
        <v>210.63566639663566</v>
      </c>
      <c r="AI441">
        <f t="shared" si="385"/>
        <v>1.5660487749027667</v>
      </c>
      <c r="AJ441" t="str">
        <f t="shared" si="367"/>
        <v>1+4.01206271649963i</v>
      </c>
      <c r="AK441">
        <f t="shared" si="386"/>
        <v>4.1348092145982243</v>
      </c>
      <c r="AL441">
        <f t="shared" si="387"/>
        <v>1.3265252268416035</v>
      </c>
      <c r="AM441" t="str">
        <f t="shared" si="368"/>
        <v>1-0.51657752941964i</v>
      </c>
      <c r="AN441">
        <f t="shared" si="388"/>
        <v>1.125545353995697</v>
      </c>
      <c r="AO441">
        <f t="shared" si="389"/>
        <v>-0.47682150902622433</v>
      </c>
      <c r="AP441" s="41" t="str">
        <f t="shared" si="390"/>
        <v>1.20473477661485-1.04886864098152i</v>
      </c>
      <c r="AQ441">
        <f t="shared" si="391"/>
        <v>4.0679749741826159</v>
      </c>
      <c r="AR441" s="43">
        <f t="shared" si="392"/>
        <v>-41.04354844616546</v>
      </c>
      <c r="AS441" t="str">
        <f t="shared" si="369"/>
        <v>-0.0000166666666666667</v>
      </c>
      <c r="AT441" t="str">
        <f t="shared" si="370"/>
        <v>0.00362792905215394i</v>
      </c>
      <c r="AU441">
        <f t="shared" si="393"/>
        <v>3.6279290521539398E-3</v>
      </c>
      <c r="AV441">
        <f t="shared" si="394"/>
        <v>1.5707963267948966</v>
      </c>
      <c r="AW441" t="str">
        <f t="shared" si="371"/>
        <v>1+3.624790705223i</v>
      </c>
      <c r="AX441">
        <f t="shared" si="395"/>
        <v>3.7602004809146878</v>
      </c>
      <c r="AY441">
        <f t="shared" si="396"/>
        <v>1.3016140322584264</v>
      </c>
      <c r="AZ441" t="str">
        <f t="shared" si="372"/>
        <v>1+123.242883977582i</v>
      </c>
      <c r="BA441">
        <f t="shared" si="397"/>
        <v>123.24694094017805</v>
      </c>
      <c r="BB441">
        <f t="shared" si="398"/>
        <v>1.5626824461178939</v>
      </c>
      <c r="BC441" s="41" t="str">
        <f t="shared" si="399"/>
        <v>-0.0388655518295041+0.145473480165054i</v>
      </c>
      <c r="BD441">
        <f t="shared" si="400"/>
        <v>-16.444897755349366</v>
      </c>
      <c r="BE441" s="43">
        <f t="shared" si="401"/>
        <v>104.95811827832219</v>
      </c>
      <c r="BF441" s="41" t="str">
        <f t="shared" si="402"/>
        <v>0.0542714732575412-0.036277891394653i</v>
      </c>
      <c r="BG441" s="20">
        <f t="shared" si="403"/>
        <v>-23.704397275061325</v>
      </c>
      <c r="BH441" s="43">
        <f t="shared" si="404"/>
        <v>-33.760838846060054</v>
      </c>
      <c r="BI441" s="41" t="str">
        <f t="shared" si="409"/>
        <v>0.105759889538242+0.21602181915844i</v>
      </c>
      <c r="BJ441" s="20">
        <f t="shared" si="405"/>
        <v>-12.376922781166744</v>
      </c>
      <c r="BK441" s="43">
        <f t="shared" si="410"/>
        <v>63.914569832156694</v>
      </c>
      <c r="BL441">
        <f t="shared" si="406"/>
        <v>-23.704397275061325</v>
      </c>
      <c r="BM441" s="43">
        <f t="shared" si="407"/>
        <v>-33.760838846060054</v>
      </c>
    </row>
    <row r="442" spans="14:65" x14ac:dyDescent="0.25">
      <c r="N442" s="9">
        <v>24</v>
      </c>
      <c r="O442" s="34">
        <f t="shared" si="408"/>
        <v>173780.0828749378</v>
      </c>
      <c r="P442" s="33" t="str">
        <f t="shared" si="360"/>
        <v>19.6196196196196</v>
      </c>
      <c r="Q442" s="4" t="str">
        <f t="shared" si="361"/>
        <v>1+264.300276313447i</v>
      </c>
      <c r="R442" s="4">
        <f t="shared" si="373"/>
        <v>264.30216809433182</v>
      </c>
      <c r="S442" s="4">
        <f t="shared" si="374"/>
        <v>1.567012769538827</v>
      </c>
      <c r="T442" s="4" t="str">
        <f t="shared" si="362"/>
        <v>1+4.10551566238497i</v>
      </c>
      <c r="U442" s="4">
        <f t="shared" si="375"/>
        <v>4.2255483495149235</v>
      </c>
      <c r="V442" s="4">
        <f t="shared" si="376"/>
        <v>1.3318740287733035</v>
      </c>
      <c r="W442" t="str">
        <f t="shared" si="363"/>
        <v>1-2.38851476368807i</v>
      </c>
      <c r="X442" s="4">
        <f t="shared" si="377"/>
        <v>2.5894020113446801</v>
      </c>
      <c r="Y442" s="4">
        <f t="shared" si="378"/>
        <v>-1.1742992530930905</v>
      </c>
      <c r="Z442" t="str">
        <f t="shared" si="364"/>
        <v>0.96980048279598+1.59884253569324i</v>
      </c>
      <c r="AA442" s="4">
        <f t="shared" si="379"/>
        <v>1.8699760507485934</v>
      </c>
      <c r="AB442" s="4">
        <f t="shared" si="380"/>
        <v>1.0255642569332484</v>
      </c>
      <c r="AC442" s="47" t="str">
        <f t="shared" si="381"/>
        <v>-0.330355273813231-0.281997008009805i</v>
      </c>
      <c r="AD442" s="20">
        <f t="shared" si="382"/>
        <v>-7.2432726133838008</v>
      </c>
      <c r="AE442" s="43">
        <f t="shared" si="383"/>
        <v>-139.51535207522974</v>
      </c>
      <c r="AF442" t="str">
        <f t="shared" si="365"/>
        <v>72.2956529813786</v>
      </c>
      <c r="AG442" t="str">
        <f t="shared" si="366"/>
        <v>1+215.539572275211i</v>
      </c>
      <c r="AH442">
        <f t="shared" si="384"/>
        <v>215.54189202236512</v>
      </c>
      <c r="AI442">
        <f t="shared" si="385"/>
        <v>1.5661568408086786</v>
      </c>
      <c r="AJ442" t="str">
        <f t="shared" si="367"/>
        <v>1+4.10551566238497i</v>
      </c>
      <c r="AK442">
        <f t="shared" si="386"/>
        <v>4.2255483495149235</v>
      </c>
      <c r="AL442">
        <f t="shared" si="387"/>
        <v>1.3318740287733035</v>
      </c>
      <c r="AM442" t="str">
        <f t="shared" si="368"/>
        <v>1-0.528610165824825i</v>
      </c>
      <c r="AN442">
        <f t="shared" si="388"/>
        <v>1.1311183436817516</v>
      </c>
      <c r="AO442">
        <f t="shared" si="389"/>
        <v>-0.48627291056459232</v>
      </c>
      <c r="AP442" s="41" t="str">
        <f t="shared" si="390"/>
        <v>1.20466266008812-1.0577559648123i</v>
      </c>
      <c r="AQ442">
        <f t="shared" si="391"/>
        <v>4.0994322955158751</v>
      </c>
      <c r="AR442" s="43">
        <f t="shared" si="392"/>
        <v>-41.284801808977207</v>
      </c>
      <c r="AS442" t="str">
        <f t="shared" si="369"/>
        <v>-0.0000166666666666667</v>
      </c>
      <c r="AT442" t="str">
        <f t="shared" si="370"/>
        <v>0.00371243437556088i</v>
      </c>
      <c r="AU442">
        <f t="shared" si="393"/>
        <v>3.7124343755608798E-3</v>
      </c>
      <c r="AV442">
        <f t="shared" si="394"/>
        <v>1.5707963267948966</v>
      </c>
      <c r="AW442" t="str">
        <f t="shared" si="371"/>
        <v>1+3.70922292713912i</v>
      </c>
      <c r="AX442">
        <f t="shared" si="395"/>
        <v>3.8416578092295652</v>
      </c>
      <c r="AY442">
        <f t="shared" si="396"/>
        <v>1.3074589851130514</v>
      </c>
      <c r="AZ442" t="str">
        <f t="shared" si="372"/>
        <v>1+126.11357952273i</v>
      </c>
      <c r="BA442">
        <f t="shared" si="397"/>
        <v>126.11754414051975</v>
      </c>
      <c r="BB442">
        <f t="shared" si="398"/>
        <v>1.5628671327594579</v>
      </c>
      <c r="BC442" s="41" t="str">
        <f t="shared" si="399"/>
        <v>-0.0372348392795904+0.142601736724574i</v>
      </c>
      <c r="BD442">
        <f t="shared" si="400"/>
        <v>-16.63106417137984</v>
      </c>
      <c r="BE442" s="43">
        <f t="shared" si="401"/>
        <v>104.63380891339332</v>
      </c>
      <c r="BF442" s="41" t="str">
        <f t="shared" si="402"/>
        <v>0.0525139886189325-0.0366091225113185i</v>
      </c>
      <c r="BG442" s="20">
        <f t="shared" si="403"/>
        <v>-23.874336784763642</v>
      </c>
      <c r="BH442" s="43">
        <f t="shared" si="404"/>
        <v>-34.881543161836468</v>
      </c>
      <c r="BI442" s="41" t="str">
        <f t="shared" si="409"/>
        <v>0.105982417078506+0.211172360842625i</v>
      </c>
      <c r="BJ442" s="20">
        <f t="shared" si="405"/>
        <v>-12.531631875863976</v>
      </c>
      <c r="BK442" s="43">
        <f t="shared" si="410"/>
        <v>63.349007104416181</v>
      </c>
      <c r="BL442">
        <f t="shared" si="406"/>
        <v>-23.874336784763642</v>
      </c>
      <c r="BM442" s="43">
        <f t="shared" si="407"/>
        <v>-34.881543161836468</v>
      </c>
    </row>
    <row r="443" spans="14:65" x14ac:dyDescent="0.25">
      <c r="N443" s="9">
        <v>25</v>
      </c>
      <c r="O443" s="34">
        <f t="shared" si="408"/>
        <v>177827.94100389251</v>
      </c>
      <c r="P443" s="33" t="str">
        <f t="shared" si="360"/>
        <v>19.6196196196196</v>
      </c>
      <c r="Q443" s="4" t="str">
        <f t="shared" si="361"/>
        <v>1+270.456620609419i</v>
      </c>
      <c r="R443" s="4">
        <f t="shared" si="373"/>
        <v>270.45846932841135</v>
      </c>
      <c r="S443" s="4">
        <f t="shared" si="374"/>
        <v>1.5670988930225709</v>
      </c>
      <c r="T443" s="4" t="str">
        <f t="shared" si="362"/>
        <v>1+4.20114540701744i</v>
      </c>
      <c r="U443" s="4">
        <f t="shared" si="375"/>
        <v>4.3185208961985735</v>
      </c>
      <c r="V443" s="4">
        <f t="shared" si="376"/>
        <v>1.3371145789452865</v>
      </c>
      <c r="W443" t="str">
        <f t="shared" si="363"/>
        <v>1-2.44415041964113i</v>
      </c>
      <c r="X443" s="4">
        <f t="shared" si="377"/>
        <v>2.6408088294747714</v>
      </c>
      <c r="Y443" s="4">
        <f t="shared" si="378"/>
        <v>-1.182435452050254</v>
      </c>
      <c r="Z443" t="str">
        <f t="shared" si="364"/>
        <v>0.968377223398316+1.63608436253529i</v>
      </c>
      <c r="AA443" s="4">
        <f t="shared" si="379"/>
        <v>1.9011908079225341</v>
      </c>
      <c r="AB443" s="4">
        <f t="shared" si="380"/>
        <v>1.0363635531077944</v>
      </c>
      <c r="AC443" s="47" t="str">
        <f t="shared" si="381"/>
        <v>-0.334826137440468-0.277929162040659i</v>
      </c>
      <c r="AD443" s="20">
        <f t="shared" si="382"/>
        <v>-7.227274395351122</v>
      </c>
      <c r="AE443" s="43">
        <f t="shared" si="383"/>
        <v>-140.30494913422154</v>
      </c>
      <c r="AF443" t="str">
        <f t="shared" si="365"/>
        <v>72.2956529813786</v>
      </c>
      <c r="AG443" t="str">
        <f t="shared" si="366"/>
        <v>1+220.560133868416i</v>
      </c>
      <c r="AH443">
        <f t="shared" si="384"/>
        <v>220.56240081222722</v>
      </c>
      <c r="AI443">
        <f t="shared" si="385"/>
        <v>1.5662624469389612</v>
      </c>
      <c r="AJ443" t="str">
        <f t="shared" si="367"/>
        <v>1+4.20114540701744i</v>
      </c>
      <c r="AK443">
        <f t="shared" si="386"/>
        <v>4.3185208961985735</v>
      </c>
      <c r="AL443">
        <f t="shared" si="387"/>
        <v>1.3371145789452865</v>
      </c>
      <c r="AM443" t="str">
        <f t="shared" si="368"/>
        <v>1-0.540923078336912i</v>
      </c>
      <c r="AN443">
        <f t="shared" si="388"/>
        <v>1.1369247014105557</v>
      </c>
      <c r="AO443">
        <f t="shared" si="389"/>
        <v>-0.49584766581993245</v>
      </c>
      <c r="AP443" s="41" t="str">
        <f t="shared" si="390"/>
        <v>1.20459378920317-1.06720409473162i</v>
      </c>
      <c r="AQ443">
        <f t="shared" si="391"/>
        <v>4.1329486387019774</v>
      </c>
      <c r="AR443" s="43">
        <f t="shared" si="392"/>
        <v>-41.53918425335381</v>
      </c>
      <c r="AS443" t="str">
        <f t="shared" si="369"/>
        <v>-0.0000166666666666667</v>
      </c>
      <c r="AT443" t="str">
        <f t="shared" si="370"/>
        <v>0.00379890808081363i</v>
      </c>
      <c r="AU443">
        <f t="shared" si="393"/>
        <v>3.7989080808136298E-3</v>
      </c>
      <c r="AV443">
        <f t="shared" si="394"/>
        <v>1.5707963267948966</v>
      </c>
      <c r="AW443" t="str">
        <f t="shared" si="371"/>
        <v>1+3.79562182814859i</v>
      </c>
      <c r="AX443">
        <f t="shared" si="395"/>
        <v>3.9251426805044987</v>
      </c>
      <c r="AY443">
        <f t="shared" si="396"/>
        <v>1.3131887456041731</v>
      </c>
      <c r="AZ443" t="str">
        <f t="shared" si="372"/>
        <v>1+129.051142157052i</v>
      </c>
      <c r="BA443">
        <f t="shared" si="397"/>
        <v>129.05501653186383</v>
      </c>
      <c r="BB443">
        <f t="shared" si="398"/>
        <v>1.5630476159424995</v>
      </c>
      <c r="BC443" s="41" t="str">
        <f t="shared" si="399"/>
        <v>-0.0356677688395922+0.139768587537978i</v>
      </c>
      <c r="BD443">
        <f t="shared" si="400"/>
        <v>-16.817811862916962</v>
      </c>
      <c r="BE443" s="43">
        <f t="shared" si="401"/>
        <v>104.31585874429253</v>
      </c>
      <c r="BF443" s="41" t="str">
        <f t="shared" si="402"/>
        <v>0.0507882676857169-0.0368850631954033i</v>
      </c>
      <c r="BG443" s="20">
        <f t="shared" si="403"/>
        <v>-24.045086258268078</v>
      </c>
      <c r="BH443" s="43">
        <f t="shared" si="404"/>
        <v>-35.989090389928975</v>
      </c>
      <c r="BI443" s="41" t="str">
        <f t="shared" si="409"/>
        <v>0.106196436116478+0.206429161429502i</v>
      </c>
      <c r="BJ443" s="20">
        <f t="shared" si="405"/>
        <v>-12.684863224214968</v>
      </c>
      <c r="BK443" s="43">
        <f t="shared" si="410"/>
        <v>62.776674490938746</v>
      </c>
      <c r="BL443">
        <f t="shared" si="406"/>
        <v>-24.045086258268078</v>
      </c>
      <c r="BM443" s="43">
        <f t="shared" si="407"/>
        <v>-35.989090389928975</v>
      </c>
    </row>
    <row r="444" spans="14:65" x14ac:dyDescent="0.25">
      <c r="N444" s="9">
        <v>26</v>
      </c>
      <c r="O444" s="34">
        <f t="shared" si="408"/>
        <v>181970.08586099857</v>
      </c>
      <c r="P444" s="33" t="str">
        <f t="shared" si="360"/>
        <v>19.6196196196196</v>
      </c>
      <c r="Q444" s="4" t="str">
        <f t="shared" si="361"/>
        <v>1+276.756364585551i</v>
      </c>
      <c r="R444" s="4">
        <f t="shared" si="373"/>
        <v>276.75817122283934</v>
      </c>
      <c r="S444" s="4">
        <f t="shared" si="374"/>
        <v>1.5671830561494844</v>
      </c>
      <c r="T444" s="4" t="str">
        <f t="shared" si="362"/>
        <v>1+4.29900265455339i</v>
      </c>
      <c r="U444" s="4">
        <f t="shared" si="375"/>
        <v>4.4137765942395744</v>
      </c>
      <c r="V444" s="4">
        <f t="shared" si="376"/>
        <v>1.3422485040781893</v>
      </c>
      <c r="W444" t="str">
        <f t="shared" si="363"/>
        <v>1-2.50108199649882i</v>
      </c>
      <c r="X444" s="4">
        <f t="shared" si="377"/>
        <v>2.6935870420705776</v>
      </c>
      <c r="Y444" s="4">
        <f t="shared" si="378"/>
        <v>-1.1904391349164685</v>
      </c>
      <c r="Z444" t="str">
        <f t="shared" si="364"/>
        <v>0.966886887851741+1.67419366296247i</v>
      </c>
      <c r="AA444" s="4">
        <f t="shared" si="379"/>
        <v>1.9333377033005172</v>
      </c>
      <c r="AB444" s="4">
        <f t="shared" si="380"/>
        <v>1.047067322533116</v>
      </c>
      <c r="AC444" s="47" t="str">
        <f t="shared" si="381"/>
        <v>-0.339205174470956-0.273826502080046i</v>
      </c>
      <c r="AD444" s="20">
        <f t="shared" si="382"/>
        <v>-7.2115245615901937</v>
      </c>
      <c r="AE444" s="43">
        <f t="shared" si="383"/>
        <v>-141.08747714548014</v>
      </c>
      <c r="AF444" t="str">
        <f t="shared" si="365"/>
        <v>72.2956529813786</v>
      </c>
      <c r="AG444" t="str">
        <f t="shared" si="366"/>
        <v>1+225.697639364053i</v>
      </c>
      <c r="AH444">
        <f t="shared" si="384"/>
        <v>225.69985470643559</v>
      </c>
      <c r="AI444">
        <f t="shared" si="385"/>
        <v>1.5663656492779554</v>
      </c>
      <c r="AJ444" t="str">
        <f t="shared" si="367"/>
        <v>1+4.29900265455339i</v>
      </c>
      <c r="AK444">
        <f t="shared" si="386"/>
        <v>4.4137765942395744</v>
      </c>
      <c r="AL444">
        <f t="shared" si="387"/>
        <v>1.3422485040781893</v>
      </c>
      <c r="AM444" t="str">
        <f t="shared" si="368"/>
        <v>1-0.553522795425092i</v>
      </c>
      <c r="AN444">
        <f t="shared" si="388"/>
        <v>1.1429730902585626</v>
      </c>
      <c r="AO444">
        <f t="shared" si="389"/>
        <v>-0.50554382844272783</v>
      </c>
      <c r="AP444" s="41" t="str">
        <f t="shared" si="390"/>
        <v>1.20452801789408-1.07721804227364i</v>
      </c>
      <c r="AQ444">
        <f t="shared" si="391"/>
        <v>4.1685451626941807</v>
      </c>
      <c r="AR444" s="43">
        <f t="shared" si="392"/>
        <v>-41.806494265121245</v>
      </c>
      <c r="AS444" t="str">
        <f t="shared" si="369"/>
        <v>-0.0000166666666666667</v>
      </c>
      <c r="AT444" t="str">
        <f t="shared" si="370"/>
        <v>0.00388739601741532i</v>
      </c>
      <c r="AU444">
        <f t="shared" si="393"/>
        <v>3.88739601741532E-3</v>
      </c>
      <c r="AV444">
        <f t="shared" si="394"/>
        <v>1.5707963267948966</v>
      </c>
      <c r="AW444" t="str">
        <f t="shared" si="371"/>
        <v>1+3.88403321809228i</v>
      </c>
      <c r="AX444">
        <f t="shared" si="395"/>
        <v>4.0106999438058528</v>
      </c>
      <c r="AY444">
        <f t="shared" si="396"/>
        <v>1.3188048462378892</v>
      </c>
      <c r="AZ444" t="str">
        <f t="shared" si="372"/>
        <v>1+132.057129415137i</v>
      </c>
      <c r="BA444">
        <f t="shared" si="397"/>
        <v>132.06091560096897</v>
      </c>
      <c r="BB444">
        <f t="shared" si="398"/>
        <v>1.5632239913145316</v>
      </c>
      <c r="BC444" s="41" t="str">
        <f t="shared" si="399"/>
        <v>-0.0341622523011794+0.136974682865448i</v>
      </c>
      <c r="BD444">
        <f t="shared" si="400"/>
        <v>-17.005118074436471</v>
      </c>
      <c r="BE444" s="43">
        <f t="shared" si="401"/>
        <v>104.00418544508739</v>
      </c>
      <c r="BF444" s="41" t="str">
        <f t="shared" si="402"/>
        <v>0.0490953110347116-0.0371079911486702i</v>
      </c>
      <c r="BG444" s="20">
        <f t="shared" si="403"/>
        <v>-24.216642636026663</v>
      </c>
      <c r="BH444" s="43">
        <f t="shared" si="404"/>
        <v>-37.08329170039277</v>
      </c>
      <c r="BI444" s="41" t="str">
        <f t="shared" si="409"/>
        <v>0.106402209666233+0.201790037797123i</v>
      </c>
      <c r="BJ444" s="20">
        <f t="shared" si="405"/>
        <v>-12.836572911742294</v>
      </c>
      <c r="BK444" s="43">
        <f t="shared" si="410"/>
        <v>62.19769117996627</v>
      </c>
      <c r="BL444">
        <f t="shared" si="406"/>
        <v>-24.216642636026663</v>
      </c>
      <c r="BM444" s="43">
        <f t="shared" si="407"/>
        <v>-37.08329170039277</v>
      </c>
    </row>
    <row r="445" spans="14:65" x14ac:dyDescent="0.25">
      <c r="N445" s="9">
        <v>27</v>
      </c>
      <c r="O445" s="34">
        <f t="shared" si="408"/>
        <v>186208.71366628664</v>
      </c>
      <c r="P445" s="33" t="str">
        <f t="shared" si="360"/>
        <v>19.6196196196196</v>
      </c>
      <c r="Q445" s="4" t="str">
        <f t="shared" si="361"/>
        <v>1+283.202848449491i</v>
      </c>
      <c r="R445" s="4">
        <f t="shared" si="373"/>
        <v>283.20461396295326</v>
      </c>
      <c r="S445" s="4">
        <f t="shared" si="374"/>
        <v>1.5672653035391995</v>
      </c>
      <c r="T445" s="4" t="str">
        <f t="shared" si="362"/>
        <v>1+4.39913929020084i</v>
      </c>
      <c r="U445" s="4">
        <f t="shared" si="375"/>
        <v>4.5113663666996446</v>
      </c>
      <c r="V445" s="4">
        <f t="shared" si="376"/>
        <v>1.3472774432413288</v>
      </c>
      <c r="W445" t="str">
        <f t="shared" si="363"/>
        <v>1-2.55933968013679i</v>
      </c>
      <c r="X445" s="4">
        <f t="shared" si="377"/>
        <v>2.7477662925224711</v>
      </c>
      <c r="Y445" s="4">
        <f t="shared" si="378"/>
        <v>-1.1983104426489259</v>
      </c>
      <c r="Z445" t="str">
        <f t="shared" si="364"/>
        <v>0.965326314954747+1.71319064303034i</v>
      </c>
      <c r="AA445" s="4">
        <f t="shared" si="379"/>
        <v>1.9664376607741274</v>
      </c>
      <c r="AB445" s="4">
        <f t="shared" si="380"/>
        <v>1.0576726285081879</v>
      </c>
      <c r="AC445" s="47" t="str">
        <f t="shared" si="381"/>
        <v>-0.34349064204466-0.26969249730758i</v>
      </c>
      <c r="AD445" s="20">
        <f t="shared" si="382"/>
        <v>-7.1960407100076287</v>
      </c>
      <c r="AE445" s="43">
        <f t="shared" si="383"/>
        <v>-141.86268456944589</v>
      </c>
      <c r="AF445" t="str">
        <f t="shared" si="365"/>
        <v>72.2956529813786</v>
      </c>
      <c r="AG445" t="str">
        <f t="shared" si="366"/>
        <v>1+230.954812735544i</v>
      </c>
      <c r="AH445">
        <f t="shared" si="384"/>
        <v>230.95697765105564</v>
      </c>
      <c r="AI445">
        <f t="shared" si="385"/>
        <v>1.5664665025361089</v>
      </c>
      <c r="AJ445" t="str">
        <f t="shared" si="367"/>
        <v>1+4.39913929020084i</v>
      </c>
      <c r="AK445">
        <f t="shared" si="386"/>
        <v>4.5113663666996446</v>
      </c>
      <c r="AL445">
        <f t="shared" si="387"/>
        <v>1.3472774432413288</v>
      </c>
      <c r="AM445" t="str">
        <f t="shared" si="368"/>
        <v>1-0.566415997626149i</v>
      </c>
      <c r="AN445">
        <f t="shared" si="388"/>
        <v>1.1492724143417112</v>
      </c>
      <c r="AO445">
        <f t="shared" si="389"/>
        <v>-0.5153592459845513</v>
      </c>
      <c r="AP445" s="41" t="str">
        <f t="shared" si="390"/>
        <v>1.20446520666793-1.08780311884236i</v>
      </c>
      <c r="AQ445">
        <f t="shared" si="391"/>
        <v>4.2062435411198438</v>
      </c>
      <c r="AR445" s="43">
        <f t="shared" si="392"/>
        <v>-42.086517740992669</v>
      </c>
      <c r="AS445" t="str">
        <f t="shared" si="369"/>
        <v>-0.0000166666666666667</v>
      </c>
      <c r="AT445" t="str">
        <f t="shared" si="370"/>
        <v>0.0039779451028412i</v>
      </c>
      <c r="AU445">
        <f t="shared" si="393"/>
        <v>3.9779451028412001E-3</v>
      </c>
      <c r="AV445">
        <f t="shared" si="394"/>
        <v>1.5707963267948966</v>
      </c>
      <c r="AW445" t="str">
        <f t="shared" si="371"/>
        <v>1+3.9745039738595i</v>
      </c>
      <c r="AX445">
        <f t="shared" si="395"/>
        <v>4.0983755121053704</v>
      </c>
      <c r="AY445">
        <f t="shared" si="396"/>
        <v>1.3243088470737769</v>
      </c>
      <c r="AZ445" t="str">
        <f t="shared" si="372"/>
        <v>1+135.133135111223i</v>
      </c>
      <c r="BA445">
        <f t="shared" si="397"/>
        <v>135.13683511533063</v>
      </c>
      <c r="BB445">
        <f t="shared" si="398"/>
        <v>1.5633963523481922</v>
      </c>
      <c r="BC445" s="41" t="str">
        <f t="shared" si="399"/>
        <v>-0.0327162368583246+0.134220581294799i</v>
      </c>
      <c r="BD445">
        <f t="shared" si="400"/>
        <v>-17.192960802884585</v>
      </c>
      <c r="BE445" s="43">
        <f t="shared" si="401"/>
        <v>103.69870498653579</v>
      </c>
      <c r="BF445" s="41" t="str">
        <f t="shared" si="402"/>
        <v>0.0474360049632205-0.0372801900237301i</v>
      </c>
      <c r="BG445" s="20">
        <f t="shared" si="403"/>
        <v>-24.389001512892218</v>
      </c>
      <c r="BH445" s="43">
        <f t="shared" si="404"/>
        <v>-38.163979582910052</v>
      </c>
      <c r="BI445" s="41" t="str">
        <f t="shared" si="409"/>
        <v>0.106599997956358+0.197252844679601i</v>
      </c>
      <c r="BJ445" s="20">
        <f t="shared" si="405"/>
        <v>-12.986717261764731</v>
      </c>
      <c r="BK445" s="43">
        <f t="shared" si="410"/>
        <v>61.612187245543169</v>
      </c>
      <c r="BL445">
        <f t="shared" si="406"/>
        <v>-24.389001512892218</v>
      </c>
      <c r="BM445" s="43">
        <f t="shared" si="407"/>
        <v>-38.163979582910052</v>
      </c>
    </row>
    <row r="446" spans="14:65" x14ac:dyDescent="0.25">
      <c r="N446" s="9">
        <v>28</v>
      </c>
      <c r="O446" s="34">
        <f t="shared" si="408"/>
        <v>190546.07179632492</v>
      </c>
      <c r="P446" s="33" t="str">
        <f t="shared" si="360"/>
        <v>19.6196196196196</v>
      </c>
      <c r="Q446" s="4" t="str">
        <f t="shared" si="361"/>
        <v>1+289.799490212315i</v>
      </c>
      <c r="R446" s="4">
        <f t="shared" si="373"/>
        <v>289.80121553802638</v>
      </c>
      <c r="S446" s="4">
        <f t="shared" si="374"/>
        <v>1.5673456787959175</v>
      </c>
      <c r="T446" s="4" t="str">
        <f t="shared" si="362"/>
        <v>1+4.50160840772948i</v>
      </c>
      <c r="U446" s="4">
        <f t="shared" si="375"/>
        <v>4.611342348659524</v>
      </c>
      <c r="V446" s="4">
        <f t="shared" si="376"/>
        <v>1.3522030449248534</v>
      </c>
      <c r="W446" t="str">
        <f t="shared" si="363"/>
        <v>1-2.61895435955007i</v>
      </c>
      <c r="X446" s="4">
        <f t="shared" si="377"/>
        <v>2.8033768810857951</v>
      </c>
      <c r="Y446" s="4">
        <f t="shared" si="378"/>
        <v>-1.2060496461956316</v>
      </c>
      <c r="Z446" t="str">
        <f t="shared" si="364"/>
        <v>0.963692194522989+1.75309597945392i</v>
      </c>
      <c r="AA446" s="4">
        <f t="shared" si="379"/>
        <v>2.0005119742111099</v>
      </c>
      <c r="AB446" s="4">
        <f t="shared" si="380"/>
        <v>1.068176753990661</v>
      </c>
      <c r="AC446" s="47" t="str">
        <f t="shared" si="381"/>
        <v>-0.347681060780729-0.265530638725221i</v>
      </c>
      <c r="AD446" s="20">
        <f t="shared" si="382"/>
        <v>-7.1808384334277626</v>
      </c>
      <c r="AE446" s="43">
        <f t="shared" si="383"/>
        <v>-142.630339302045</v>
      </c>
      <c r="AF446" t="str">
        <f t="shared" si="365"/>
        <v>72.2956529813786</v>
      </c>
      <c r="AG446" t="str">
        <f t="shared" si="366"/>
        <v>1+236.334441405798i</v>
      </c>
      <c r="AH446">
        <f t="shared" si="384"/>
        <v>236.33655704226246</v>
      </c>
      <c r="AI446">
        <f t="shared" si="385"/>
        <v>1.5665650601789427</v>
      </c>
      <c r="AJ446" t="str">
        <f t="shared" si="367"/>
        <v>1+4.50160840772948i</v>
      </c>
      <c r="AK446">
        <f t="shared" si="386"/>
        <v>4.611342348659524</v>
      </c>
      <c r="AL446">
        <f t="shared" si="387"/>
        <v>1.3522030449248534</v>
      </c>
      <c r="AM446" t="str">
        <f t="shared" si="368"/>
        <v>1-0.579609521086556i</v>
      </c>
      <c r="AN446">
        <f t="shared" si="388"/>
        <v>1.1558318203502562</v>
      </c>
      <c r="AO446">
        <f t="shared" si="389"/>
        <v>-0.52529155688037577</v>
      </c>
      <c r="AP446" s="41" t="str">
        <f t="shared" si="390"/>
        <v>1.20440522230901-1.0989649385367i</v>
      </c>
      <c r="AQ446">
        <f t="shared" si="391"/>
        <v>4.2460658492295646</v>
      </c>
      <c r="AR446" s="43">
        <f t="shared" si="392"/>
        <v>-42.379027985080263</v>
      </c>
      <c r="AS446" t="str">
        <f t="shared" si="369"/>
        <v>-0.0000166666666666667</v>
      </c>
      <c r="AT446" t="str">
        <f t="shared" si="370"/>
        <v>0.00407060334741495i</v>
      </c>
      <c r="AU446">
        <f t="shared" si="393"/>
        <v>4.07060334741495E-3</v>
      </c>
      <c r="AV446">
        <f t="shared" si="394"/>
        <v>1.5707963267948966</v>
      </c>
      <c r="AW446" t="str">
        <f t="shared" si="371"/>
        <v>1+4.06708206424247i</v>
      </c>
      <c r="AX446">
        <f t="shared" si="395"/>
        <v>4.1882163885457002</v>
      </c>
      <c r="AY446">
        <f t="shared" si="396"/>
        <v>1.3297023319350834</v>
      </c>
      <c r="AZ446" t="str">
        <f t="shared" si="372"/>
        <v>1+138.280790184244i</v>
      </c>
      <c r="BA446">
        <f t="shared" si="397"/>
        <v>138.28440596820352</v>
      </c>
      <c r="BB446">
        <f t="shared" si="398"/>
        <v>1.5635647903905949</v>
      </c>
      <c r="BC446" s="41" t="str">
        <f t="shared" si="399"/>
        <v>-0.0313277075494916+0.131506754619265i</v>
      </c>
      <c r="BD446">
        <f t="shared" si="400"/>
        <v>-17.381318784390704</v>
      </c>
      <c r="BE446" s="43">
        <f t="shared" si="401"/>
        <v>103.39933185605442</v>
      </c>
      <c r="BF446" s="41" t="str">
        <f t="shared" si="402"/>
        <v>0.04581112314337-0.0374039417504437i</v>
      </c>
      <c r="BG446" s="20">
        <f t="shared" si="403"/>
        <v>-24.56215721781847</v>
      </c>
      <c r="BH446" s="43">
        <f t="shared" si="404"/>
        <v>-39.231007445990635</v>
      </c>
      <c r="BI446" s="41" t="str">
        <f t="shared" si="409"/>
        <v>0.106790057931744+0.192815474233975i</v>
      </c>
      <c r="BJ446" s="20">
        <f t="shared" si="405"/>
        <v>-13.135252935161148</v>
      </c>
      <c r="BK446" s="43">
        <f t="shared" si="410"/>
        <v>61.020303870974239</v>
      </c>
      <c r="BL446">
        <f t="shared" si="406"/>
        <v>-24.56215721781847</v>
      </c>
      <c r="BM446" s="43">
        <f t="shared" si="407"/>
        <v>-39.231007445990635</v>
      </c>
    </row>
    <row r="447" spans="14:65" x14ac:dyDescent="0.25">
      <c r="N447" s="9">
        <v>29</v>
      </c>
      <c r="O447" s="34">
        <f t="shared" si="408"/>
        <v>194984.45997580473</v>
      </c>
      <c r="P447" s="33" t="str">
        <f t="shared" si="360"/>
        <v>19.6196196196196</v>
      </c>
      <c r="Q447" s="4" t="str">
        <f t="shared" si="361"/>
        <v>1+296.549787500795i</v>
      </c>
      <c r="R447" s="4">
        <f t="shared" si="373"/>
        <v>296.55147355352437</v>
      </c>
      <c r="S447" s="4">
        <f t="shared" si="374"/>
        <v>1.5674242245315066</v>
      </c>
      <c r="T447" s="4" t="str">
        <f t="shared" si="362"/>
        <v>1+4.60646433762168i</v>
      </c>
      <c r="U447" s="4">
        <f t="shared" si="375"/>
        <v>4.7137579163317609</v>
      </c>
      <c r="V447" s="4">
        <f t="shared" si="376"/>
        <v>1.3570269642928707</v>
      </c>
      <c r="W447" t="str">
        <f t="shared" si="363"/>
        <v>1-2.6799576432307i</v>
      </c>
      <c r="X447" s="4">
        <f t="shared" si="377"/>
        <v>2.8604497844763239</v>
      </c>
      <c r="Y447" s="4">
        <f t="shared" si="378"/>
        <v>-1.2136571396319282</v>
      </c>
      <c r="Z447" t="str">
        <f t="shared" si="364"/>
        <v>0.961981060367944+1.79393083057075i</v>
      </c>
      <c r="AA447" s="4">
        <f t="shared" si="379"/>
        <v>2.0355823209536119</v>
      </c>
      <c r="AB447" s="4">
        <f t="shared" si="380"/>
        <v>1.0785772015208772</v>
      </c>
      <c r="AC447" s="47" t="str">
        <f t="shared" si="381"/>
        <v>-0.351775208935413-0.261344421408959i</v>
      </c>
      <c r="AD447" s="20">
        <f t="shared" si="382"/>
        <v>-7.1659314150576652</v>
      </c>
      <c r="AE447" s="43">
        <f t="shared" si="383"/>
        <v>-143.39022843579613</v>
      </c>
      <c r="AF447" t="str">
        <f t="shared" si="365"/>
        <v>72.2956529813786</v>
      </c>
      <c r="AG447" t="str">
        <f t="shared" si="366"/>
        <v>1+241.839377725138i</v>
      </c>
      <c r="AH447">
        <f t="shared" si="384"/>
        <v>241.84144520425357</v>
      </c>
      <c r="AI447">
        <f t="shared" si="385"/>
        <v>1.5666613744553604</v>
      </c>
      <c r="AJ447" t="str">
        <f t="shared" si="367"/>
        <v>1+4.60646433762168i</v>
      </c>
      <c r="AK447">
        <f t="shared" si="386"/>
        <v>4.7137579163317609</v>
      </c>
      <c r="AL447">
        <f t="shared" si="387"/>
        <v>1.3570269642928707</v>
      </c>
      <c r="AM447" t="str">
        <f t="shared" si="368"/>
        <v>1-0.593110361187073i</v>
      </c>
      <c r="AN447">
        <f t="shared" si="388"/>
        <v>1.1626606988057437</v>
      </c>
      <c r="AO447">
        <f t="shared" si="389"/>
        <v>-0.53533818809413769</v>
      </c>
      <c r="AP447" s="41" t="str">
        <f t="shared" si="390"/>
        <v>1.20434793759649-1.1107094211355i</v>
      </c>
      <c r="AQ447">
        <f t="shared" si="391"/>
        <v>4.2880344466479485</v>
      </c>
      <c r="AR447" s="43">
        <f t="shared" si="392"/>
        <v>-42.683785732999581</v>
      </c>
      <c r="AS447" t="str">
        <f t="shared" si="369"/>
        <v>-0.0000166666666666667</v>
      </c>
      <c r="AT447" t="str">
        <f t="shared" si="370"/>
        <v>0.0041654198797643i</v>
      </c>
      <c r="AU447">
        <f t="shared" si="393"/>
        <v>4.1654198797642997E-3</v>
      </c>
      <c r="AV447">
        <f t="shared" si="394"/>
        <v>1.5707963267948966</v>
      </c>
      <c r="AW447" t="str">
        <f t="shared" si="371"/>
        <v>1+4.16181657537003i</v>
      </c>
      <c r="AX447">
        <f t="shared" si="395"/>
        <v>4.2802706931950834</v>
      </c>
      <c r="AY447">
        <f t="shared" si="396"/>
        <v>1.3349869048225342</v>
      </c>
      <c r="AZ447" t="str">
        <f t="shared" si="372"/>
        <v>1+141.501763562581i</v>
      </c>
      <c r="BA447">
        <f t="shared" si="397"/>
        <v>141.50529704332828</v>
      </c>
      <c r="BB447">
        <f t="shared" si="398"/>
        <v>1.5637293947115662</v>
      </c>
      <c r="BC447" s="41" t="str">
        <f t="shared" si="399"/>
        <v>-0.0299946893586996+0.128833592619796i</v>
      </c>
      <c r="BD447">
        <f t="shared" si="400"/>
        <v>-17.570171480152002</v>
      </c>
      <c r="BE447" s="43">
        <f t="shared" si="401"/>
        <v>103.10597926595545</v>
      </c>
      <c r="BF447" s="41" t="str">
        <f t="shared" si="402"/>
        <v>0.0442213288373675-0.0374815192259378i</v>
      </c>
      <c r="BG447" s="20">
        <f t="shared" si="403"/>
        <v>-24.736102895209662</v>
      </c>
      <c r="BH447" s="43">
        <f t="shared" si="404"/>
        <v>-40.284249169840663</v>
      </c>
      <c r="BI447" s="41" t="str">
        <f t="shared" si="409"/>
        <v>0.106972642813543+0.188475855619538i</v>
      </c>
      <c r="BJ447" s="20">
        <f t="shared" si="405"/>
        <v>-13.282137033504057</v>
      </c>
      <c r="BK447" s="43">
        <f t="shared" si="410"/>
        <v>60.422193532955916</v>
      </c>
      <c r="BL447">
        <f t="shared" si="406"/>
        <v>-24.736102895209662</v>
      </c>
      <c r="BM447" s="43">
        <f t="shared" si="407"/>
        <v>-40.284249169840663</v>
      </c>
    </row>
    <row r="448" spans="14:65" x14ac:dyDescent="0.25">
      <c r="N448" s="9">
        <v>30</v>
      </c>
      <c r="O448" s="34">
        <f t="shared" si="408"/>
        <v>199526.23149688813</v>
      </c>
      <c r="P448" s="33" t="str">
        <f t="shared" si="360"/>
        <v>19.6196196196196</v>
      </c>
      <c r="Q448" s="4" t="str">
        <f t="shared" si="361"/>
        <v>1+303.457319411911i</v>
      </c>
      <c r="R448" s="4">
        <f t="shared" si="373"/>
        <v>303.45896708560542</v>
      </c>
      <c r="S448" s="4">
        <f t="shared" si="374"/>
        <v>1.5675009823880772</v>
      </c>
      <c r="T448" s="4" t="str">
        <f t="shared" si="362"/>
        <v>1+4.71376267587948i</v>
      </c>
      <c r="U448" s="4">
        <f t="shared" si="375"/>
        <v>4.8186677167568295</v>
      </c>
      <c r="V448" s="4">
        <f t="shared" si="376"/>
        <v>1.3617508606114634</v>
      </c>
      <c r="W448" t="str">
        <f t="shared" si="363"/>
        <v>1-2.74238187592723i</v>
      </c>
      <c r="X448" s="4">
        <f t="shared" si="377"/>
        <v>2.9190166757684257</v>
      </c>
      <c r="Y448" s="4">
        <f t="shared" si="378"/>
        <v>-1.2211334333419204</v>
      </c>
      <c r="Z448" t="str">
        <f t="shared" si="364"/>
        <v>0.96018928294465+1.83571684755945i</v>
      </c>
      <c r="AA448" s="4">
        <f t="shared" si="379"/>
        <v>2.0716707758462412</v>
      </c>
      <c r="AB448" s="4">
        <f t="shared" si="380"/>
        <v>1.0888716923435922</v>
      </c>
      <c r="AC448" s="47" t="str">
        <f t="shared" si="381"/>
        <v>-0.355772115399272-0.257137327725903i</v>
      </c>
      <c r="AD448" s="20">
        <f t="shared" si="382"/>
        <v>-7.1513315256584642</v>
      </c>
      <c r="AE448" s="43">
        <f t="shared" si="383"/>
        <v>-144.14215796746987</v>
      </c>
      <c r="AF448" t="str">
        <f t="shared" si="365"/>
        <v>72.2956529813786</v>
      </c>
      <c r="AG448" t="str">
        <f t="shared" si="366"/>
        <v>1+247.472540483673i</v>
      </c>
      <c r="AH448">
        <f t="shared" si="384"/>
        <v>247.47456090160694</v>
      </c>
      <c r="AI448">
        <f t="shared" si="385"/>
        <v>1.5667554964253145</v>
      </c>
      <c r="AJ448" t="str">
        <f t="shared" si="367"/>
        <v>1+4.71376267587948i</v>
      </c>
      <c r="AK448">
        <f t="shared" si="386"/>
        <v>4.8186677167568295</v>
      </c>
      <c r="AL448">
        <f t="shared" si="387"/>
        <v>1.3617508606114634</v>
      </c>
      <c r="AM448" t="str">
        <f t="shared" si="368"/>
        <v>1-0.606925676251839i</v>
      </c>
      <c r="AN448">
        <f t="shared" si="388"/>
        <v>1.1697686850372393</v>
      </c>
      <c r="AO448">
        <f t="shared" si="389"/>
        <v>-0.54549635348007464</v>
      </c>
      <c r="AP448" s="41" t="str">
        <f t="shared" si="390"/>
        <v>1.20429323103455-1.12304279524418i</v>
      </c>
      <c r="AQ448">
        <f t="shared" si="391"/>
        <v>4.3321718563699063</v>
      </c>
      <c r="AR448" s="43">
        <f t="shared" si="392"/>
        <v>-43.000539206934853</v>
      </c>
      <c r="AS448" t="str">
        <f t="shared" si="369"/>
        <v>-0.0000166666666666667</v>
      </c>
      <c r="AT448" t="str">
        <f t="shared" si="370"/>
        <v>0.00426244497286974i</v>
      </c>
      <c r="AU448">
        <f t="shared" si="393"/>
        <v>4.2624449728697403E-3</v>
      </c>
      <c r="AV448">
        <f t="shared" si="394"/>
        <v>1.5707963267948966</v>
      </c>
      <c r="AW448" t="str">
        <f t="shared" si="371"/>
        <v>1+4.25875773673405i</v>
      </c>
      <c r="AX448">
        <f t="shared" si="395"/>
        <v>4.3745876903077541</v>
      </c>
      <c r="AY448">
        <f t="shared" si="396"/>
        <v>1.3401641865274327</v>
      </c>
      <c r="AZ448" t="str">
        <f t="shared" si="372"/>
        <v>1+144.797763048957i</v>
      </c>
      <c r="BA448">
        <f t="shared" si="397"/>
        <v>144.80121609980316</v>
      </c>
      <c r="BB448">
        <f t="shared" si="398"/>
        <v>1.5638902525507972</v>
      </c>
      <c r="BC448" s="41" t="str">
        <f t="shared" si="399"/>
        <v>-0.0287152489982506+0.126201407737776i</v>
      </c>
      <c r="BD448">
        <f t="shared" si="400"/>
        <v>-17.759499061609684</v>
      </c>
      <c r="BE448" s="43">
        <f t="shared" si="401"/>
        <v>102.81855935020403</v>
      </c>
      <c r="BF448" s="41" t="str">
        <f t="shared" si="402"/>
        <v>0.0426671776212632-0.0375151794048406i</v>
      </c>
      <c r="BG448" s="20">
        <f t="shared" si="403"/>
        <v>-24.910830587268151</v>
      </c>
      <c r="BH448" s="43">
        <f t="shared" si="404"/>
        <v>-41.323598617265937</v>
      </c>
      <c r="BI448" s="41" t="str">
        <f t="shared" si="409"/>
        <v>0.107148001713518+0.184231954586763i</v>
      </c>
      <c r="BJ448" s="20">
        <f t="shared" si="405"/>
        <v>-13.427327205239765</v>
      </c>
      <c r="BK448" s="43">
        <f t="shared" si="410"/>
        <v>59.818020143269095</v>
      </c>
      <c r="BL448">
        <f t="shared" si="406"/>
        <v>-24.910830587268151</v>
      </c>
      <c r="BM448" s="43">
        <f t="shared" si="407"/>
        <v>-41.323598617265937</v>
      </c>
    </row>
    <row r="449" spans="14:65" x14ac:dyDescent="0.25">
      <c r="N449" s="9">
        <v>31</v>
      </c>
      <c r="O449" s="34">
        <f t="shared" si="408"/>
        <v>204173.79446695308</v>
      </c>
      <c r="P449" s="33" t="str">
        <f t="shared" si="360"/>
        <v>19.6196196196196</v>
      </c>
      <c r="Q449" s="4" t="str">
        <f t="shared" si="361"/>
        <v>1+310.52574841051i</v>
      </c>
      <c r="R449" s="4">
        <f t="shared" si="373"/>
        <v>310.52735857876894</v>
      </c>
      <c r="S449" s="4">
        <f t="shared" si="374"/>
        <v>1.5675759930600404</v>
      </c>
      <c r="T449" s="4" t="str">
        <f t="shared" si="362"/>
        <v>1+4.82356031350203i</v>
      </c>
      <c r="U449" s="4">
        <f t="shared" si="375"/>
        <v>4.9261276981003856</v>
      </c>
      <c r="V449" s="4">
        <f t="shared" si="376"/>
        <v>1.3663763948452747</v>
      </c>
      <c r="W449" t="str">
        <f t="shared" si="363"/>
        <v>1-2.80626015579407i</v>
      </c>
      <c r="X449" s="4">
        <f t="shared" si="377"/>
        <v>2.9791099445971034</v>
      </c>
      <c r="Y449" s="4">
        <f t="shared" si="378"/>
        <v>-1.228479147272203</v>
      </c>
      <c r="Z449" t="str">
        <f t="shared" si="364"/>
        <v>0.958313061652967+1.87847618591929i</v>
      </c>
      <c r="AA449" s="4">
        <f t="shared" si="379"/>
        <v>2.1087998257778207</v>
      </c>
      <c r="AB449" s="4">
        <f t="shared" si="380"/>
        <v>1.0990581647749644</v>
      </c>
      <c r="AC449" s="47" t="str">
        <f t="shared" si="381"/>
        <v>-0.359671051658914-0.252912811585822i</v>
      </c>
      <c r="AD449" s="20">
        <f t="shared" si="382"/>
        <v>-7.1370489217019504</v>
      </c>
      <c r="AE449" s="43">
        <f t="shared" si="383"/>
        <v>-144.88595245696072</v>
      </c>
      <c r="AF449" t="str">
        <f t="shared" si="365"/>
        <v>72.2956529813786</v>
      </c>
      <c r="AG449" t="str">
        <f t="shared" si="366"/>
        <v>1+253.236916458857i</v>
      </c>
      <c r="AH449">
        <f t="shared" si="384"/>
        <v>253.23889088682671</v>
      </c>
      <c r="AI449">
        <f t="shared" si="385"/>
        <v>1.5668474759868452</v>
      </c>
      <c r="AJ449" t="str">
        <f t="shared" si="367"/>
        <v>1+4.82356031350203i</v>
      </c>
      <c r="AK449">
        <f t="shared" si="386"/>
        <v>4.9261276981003856</v>
      </c>
      <c r="AL449">
        <f t="shared" si="387"/>
        <v>1.3663763948452747</v>
      </c>
      <c r="AM449" t="str">
        <f t="shared" si="368"/>
        <v>1-0.621062791343763i</v>
      </c>
      <c r="AN449">
        <f t="shared" si="388"/>
        <v>1.1771656598761733</v>
      </c>
      <c r="AO449">
        <f t="shared" si="389"/>
        <v>-0.55576305290984651</v>
      </c>
      <c r="AP449" s="41" t="str">
        <f t="shared" si="390"/>
        <v>1.20424098659489-1.13597160160438i</v>
      </c>
      <c r="AQ449">
        <f t="shared" si="391"/>
        <v>4.3785006404941305</v>
      </c>
      <c r="AR449" s="43">
        <f t="shared" si="392"/>
        <v>-43.329024204876823</v>
      </c>
      <c r="AS449" t="str">
        <f t="shared" si="369"/>
        <v>-0.0000166666666666667</v>
      </c>
      <c r="AT449" t="str">
        <f t="shared" si="370"/>
        <v>0.00436173007071994i</v>
      </c>
      <c r="AU449">
        <f t="shared" si="393"/>
        <v>4.3617300707199397E-3</v>
      </c>
      <c r="AV449">
        <f t="shared" si="394"/>
        <v>1.5707963267948966</v>
      </c>
      <c r="AW449" t="str">
        <f t="shared" si="371"/>
        <v>1+4.35795694782138i</v>
      </c>
      <c r="AX449">
        <f t="shared" si="395"/>
        <v>4.4712178161061047</v>
      </c>
      <c r="AY449">
        <f t="shared" si="396"/>
        <v>1.3452358114391127</v>
      </c>
      <c r="AZ449" t="str">
        <f t="shared" si="372"/>
        <v>1+148.170536225927i</v>
      </c>
      <c r="BA449">
        <f t="shared" si="397"/>
        <v>148.17391067755062</v>
      </c>
      <c r="BB449">
        <f t="shared" si="398"/>
        <v>1.5640474491639256</v>
      </c>
      <c r="BC449" s="41" t="str">
        <f t="shared" si="399"/>
        <v>-0.0274874963954451+0.123610439626323i</v>
      </c>
      <c r="BD449">
        <f t="shared" si="400"/>
        <v>-17.949282395028231</v>
      </c>
      <c r="BE449" s="43">
        <f t="shared" si="401"/>
        <v>102.53698334997738</v>
      </c>
      <c r="BF449" s="41" t="str">
        <f t="shared" si="402"/>
        <v>0.0411491205632732-0.0375071568195931i</v>
      </c>
      <c r="BG449" s="20">
        <f t="shared" si="403"/>
        <v>-25.086331316730185</v>
      </c>
      <c r="BH449" s="43">
        <f t="shared" si="404"/>
        <v>-42.348969106983333</v>
      </c>
      <c r="BI449" s="41" t="str">
        <f t="shared" si="409"/>
        <v>0.107316379299061+0.18008177307346i</v>
      </c>
      <c r="BJ449" s="20">
        <f t="shared" si="405"/>
        <v>-13.570781754534096</v>
      </c>
      <c r="BK449" s="43">
        <f t="shared" si="410"/>
        <v>59.207959145100673</v>
      </c>
      <c r="BL449">
        <f t="shared" si="406"/>
        <v>-25.086331316730185</v>
      </c>
      <c r="BM449" s="43">
        <f t="shared" si="407"/>
        <v>-42.348969106983333</v>
      </c>
    </row>
    <row r="450" spans="14:65" x14ac:dyDescent="0.25">
      <c r="N450" s="9">
        <v>32</v>
      </c>
      <c r="O450" s="34">
        <f t="shared" si="408"/>
        <v>208929.61308540447</v>
      </c>
      <c r="P450" s="33" t="str">
        <f t="shared" si="360"/>
        <v>19.6196196196196</v>
      </c>
      <c r="Q450" s="4" t="str">
        <f t="shared" si="361"/>
        <v>1+317.758822271213i</v>
      </c>
      <c r="R450" s="4">
        <f t="shared" si="373"/>
        <v>317.76039578775124</v>
      </c>
      <c r="S450" s="4">
        <f t="shared" si="374"/>
        <v>1.5676492963156694</v>
      </c>
      <c r="T450" s="4" t="str">
        <f t="shared" si="362"/>
        <v>1+4.93591546665021i</v>
      </c>
      <c r="U450" s="4">
        <f t="shared" si="375"/>
        <v>5.0361951405715759</v>
      </c>
      <c r="V450" s="4">
        <f t="shared" si="376"/>
        <v>1.3709052274162832</v>
      </c>
      <c r="W450" t="str">
        <f t="shared" si="363"/>
        <v>1-2.87162635194079i</v>
      </c>
      <c r="X450" s="4">
        <f t="shared" si="377"/>
        <v>3.0407627176681786</v>
      </c>
      <c r="Y450" s="4">
        <f t="shared" si="378"/>
        <v>-1.2356950042826922</v>
      </c>
      <c r="Z450" t="str">
        <f t="shared" si="364"/>
        <v>0.956348416775983+1.9222315172175i</v>
      </c>
      <c r="AA450" s="4">
        <f t="shared" si="379"/>
        <v>2.1469923847219907</v>
      </c>
      <c r="AB450" s="4">
        <f t="shared" si="380"/>
        <v>1.1091347718656142</v>
      </c>
      <c r="AC450" s="47" t="str">
        <f t="shared" si="381"/>
        <v>-0.363471522850469-0.248674283780639i</v>
      </c>
      <c r="AD450" s="20">
        <f t="shared" si="382"/>
        <v>-7.1230921438416424</v>
      </c>
      <c r="AE450" s="43">
        <f t="shared" si="383"/>
        <v>-145.62145464206944</v>
      </c>
      <c r="AF450" t="str">
        <f t="shared" si="365"/>
        <v>72.2956529813786</v>
      </c>
      <c r="AG450" t="str">
        <f t="shared" si="366"/>
        <v>1+259.135561999136i</v>
      </c>
      <c r="AH450">
        <f t="shared" si="384"/>
        <v>259.13749148397659</v>
      </c>
      <c r="AI450">
        <f t="shared" si="385"/>
        <v>1.5669373619025042</v>
      </c>
      <c r="AJ450" t="str">
        <f t="shared" si="367"/>
        <v>1+4.93591546665021i</v>
      </c>
      <c r="AK450">
        <f t="shared" si="386"/>
        <v>5.0361951405715759</v>
      </c>
      <c r="AL450">
        <f t="shared" si="387"/>
        <v>1.3709052274162832</v>
      </c>
      <c r="AM450" t="str">
        <f t="shared" si="368"/>
        <v>1-0.635529202148401i</v>
      </c>
      <c r="AN450">
        <f t="shared" si="388"/>
        <v>1.1848617500718737</v>
      </c>
      <c r="AO450">
        <f t="shared" si="389"/>
        <v>-0.56613507221261605</v>
      </c>
      <c r="AP450" s="41" t="str">
        <f t="shared" si="390"/>
        <v>1.20419109347068-1.14950269656882i</v>
      </c>
      <c r="AQ450">
        <f t="shared" si="391"/>
        <v>4.4270432732305878</v>
      </c>
      <c r="AR450" s="43">
        <f t="shared" si="392"/>
        <v>-43.668964227118472</v>
      </c>
      <c r="AS450" t="str">
        <f t="shared" si="369"/>
        <v>-0.0000166666666666667</v>
      </c>
      <c r="AT450" t="str">
        <f t="shared" si="370"/>
        <v>0.00446332781558796i</v>
      </c>
      <c r="AU450">
        <f t="shared" si="393"/>
        <v>4.4633278155879596E-3</v>
      </c>
      <c r="AV450">
        <f t="shared" si="394"/>
        <v>1.5707963267948966</v>
      </c>
      <c r="AW450" t="str">
        <f t="shared" si="371"/>
        <v>1+4.45946680536687i</v>
      </c>
      <c r="AX450">
        <f t="shared" si="395"/>
        <v>4.5702127071033578</v>
      </c>
      <c r="AY450">
        <f t="shared" si="396"/>
        <v>1.3502034245415089</v>
      </c>
      <c r="AZ450" t="str">
        <f t="shared" si="372"/>
        <v>1+151.621871382473i</v>
      </c>
      <c r="BA450">
        <f t="shared" si="397"/>
        <v>151.6251690238899</v>
      </c>
      <c r="BB450">
        <f t="shared" si="398"/>
        <v>1.5642010678675835</v>
      </c>
      <c r="BC450" s="41" t="str">
        <f t="shared" si="399"/>
        <v>-0.0263095859050147+0.121060859570365i</v>
      </c>
      <c r="BD450">
        <f t="shared" si="400"/>
        <v>-18.13950302558333</v>
      </c>
      <c r="BE450" s="43">
        <f t="shared" si="401"/>
        <v>102.26116178832999</v>
      </c>
      <c r="BF450" s="41" t="str">
        <f t="shared" si="402"/>
        <v>0.03966750780199-0.0374596575541326i</v>
      </c>
      <c r="BG450" s="20">
        <f t="shared" si="403"/>
        <v>-25.262595169424969</v>
      </c>
      <c r="BH450" s="43">
        <f t="shared" si="404"/>
        <v>-43.360292853739395</v>
      </c>
      <c r="BI450" s="41" t="str">
        <f t="shared" si="409"/>
        <v>0.107478015505353+0.176023348805962i</v>
      </c>
      <c r="BJ450" s="20">
        <f t="shared" si="405"/>
        <v>-13.712459752352739</v>
      </c>
      <c r="BK450" s="43">
        <f t="shared" si="410"/>
        <v>58.592197561211648</v>
      </c>
      <c r="BL450">
        <f t="shared" si="406"/>
        <v>-25.262595169424969</v>
      </c>
      <c r="BM450" s="43">
        <f t="shared" si="407"/>
        <v>-43.360292853739395</v>
      </c>
    </row>
    <row r="451" spans="14:65" x14ac:dyDescent="0.25">
      <c r="N451" s="9">
        <v>33</v>
      </c>
      <c r="O451" s="34">
        <f t="shared" si="408"/>
        <v>213796.20895022334</v>
      </c>
      <c r="P451" s="33" t="str">
        <f t="shared" si="360"/>
        <v>19.6196196196196</v>
      </c>
      <c r="Q451" s="4" t="str">
        <f t="shared" si="361"/>
        <v>1+325.160376065518i</v>
      </c>
      <c r="R451" s="4">
        <f t="shared" si="373"/>
        <v>325.1619137646183</v>
      </c>
      <c r="S451" s="4">
        <f t="shared" si="374"/>
        <v>1.5677209310181672</v>
      </c>
      <c r="T451" s="4" t="str">
        <f t="shared" si="362"/>
        <v>1+5.05088770751334i</v>
      </c>
      <c r="U451" s="4">
        <f t="shared" si="375"/>
        <v>5.1489286879805745</v>
      </c>
      <c r="V451" s="4">
        <f t="shared" si="376"/>
        <v>1.3753390161182124</v>
      </c>
      <c r="W451" t="str">
        <f t="shared" si="363"/>
        <v>1-2.93851512238975i</v>
      </c>
      <c r="X451" s="4">
        <f t="shared" si="377"/>
        <v>3.1040088795802836</v>
      </c>
      <c r="Y451" s="4">
        <f t="shared" si="378"/>
        <v>-1.242781823616359</v>
      </c>
      <c r="Z451" t="str">
        <f t="shared" si="364"/>
        <v>0.954291181038512+1.96700604110987i</v>
      </c>
      <c r="AA451" s="4">
        <f t="shared" si="379"/>
        <v>2.1862718092612825</v>
      </c>
      <c r="AB451" s="4">
        <f t="shared" si="380"/>
        <v>1.1190998784124242</v>
      </c>
      <c r="AC451" s="47" t="str">
        <f t="shared" si="381"/>
        <v>-0.367173258031857-0.244425098450648i</v>
      </c>
      <c r="AD451" s="20">
        <f t="shared" si="382"/>
        <v>-7.1094682150817414</v>
      </c>
      <c r="AE451" s="43">
        <f t="shared" si="383"/>
        <v>-146.34852501383719</v>
      </c>
      <c r="AF451" t="str">
        <f t="shared" si="365"/>
        <v>72.2956529813786</v>
      </c>
      <c r="AG451" t="str">
        <f t="shared" si="366"/>
        <v>1+265.17160464445i</v>
      </c>
      <c r="AH451">
        <f t="shared" si="384"/>
        <v>265.17349020916942</v>
      </c>
      <c r="AI451">
        <f t="shared" si="385"/>
        <v>1.5670252018251807</v>
      </c>
      <c r="AJ451" t="str">
        <f t="shared" si="367"/>
        <v>1+5.05088770751334i</v>
      </c>
      <c r="AK451">
        <f t="shared" si="386"/>
        <v>5.1489286879805745</v>
      </c>
      <c r="AL451">
        <f t="shared" si="387"/>
        <v>1.3753390161182124</v>
      </c>
      <c r="AM451" t="str">
        <f t="shared" si="368"/>
        <v>1-0.650332578948236i</v>
      </c>
      <c r="AN451">
        <f t="shared" si="388"/>
        <v>1.1928673284324052</v>
      </c>
      <c r="AO451">
        <f t="shared" si="389"/>
        <v>-0.57660898397119897</v>
      </c>
      <c r="AP451" s="41" t="str">
        <f t="shared" si="390"/>
        <v>1.20414344584159-1.16364325574292i</v>
      </c>
      <c r="AQ451">
        <f t="shared" si="391"/>
        <v>4.4778220117630365</v>
      </c>
      <c r="AR451" s="43">
        <f t="shared" si="392"/>
        <v>-44.020070642846278</v>
      </c>
      <c r="AS451" t="str">
        <f t="shared" si="369"/>
        <v>-0.0000166666666666667</v>
      </c>
      <c r="AT451" t="str">
        <f t="shared" si="370"/>
        <v>0.00456729207594292i</v>
      </c>
      <c r="AU451">
        <f t="shared" si="393"/>
        <v>4.5672920759429201E-3</v>
      </c>
      <c r="AV451">
        <f t="shared" si="394"/>
        <v>1.5707963267948966</v>
      </c>
      <c r="AW451" t="str">
        <f t="shared" si="371"/>
        <v>1+4.56334113124055i</v>
      </c>
      <c r="AX451">
        <f t="shared" si="395"/>
        <v>4.6716252289831406</v>
      </c>
      <c r="AY451">
        <f t="shared" si="396"/>
        <v>1.3550686785930692</v>
      </c>
      <c r="AZ451" t="str">
        <f t="shared" si="372"/>
        <v>1+155.153598462178i</v>
      </c>
      <c r="BA451">
        <f t="shared" si="397"/>
        <v>155.15682104168917</v>
      </c>
      <c r="BB451">
        <f t="shared" si="398"/>
        <v>1.5643511900834224</v>
      </c>
      <c r="BC451" s="41" t="str">
        <f t="shared" si="399"/>
        <v>-0.0251797172683441+0.118552774767645i</v>
      </c>
      <c r="BD451">
        <f t="shared" si="400"/>
        <v>-18.330143161051677</v>
      </c>
      <c r="BE451" s="43">
        <f t="shared" si="401"/>
        <v>101.99100463429535</v>
      </c>
      <c r="BF451" s="41" t="str">
        <f t="shared" si="402"/>
        <v>0.038222592469918-0.0373748536878787i</v>
      </c>
      <c r="BG451" s="20">
        <f t="shared" si="403"/>
        <v>-25.439611376133424</v>
      </c>
      <c r="BH451" s="43">
        <f t="shared" si="404"/>
        <v>-44.357520379541889</v>
      </c>
      <c r="BI451" s="41" t="str">
        <f t="shared" si="409"/>
        <v>0.107633145291159+0.172054754903616i</v>
      </c>
      <c r="BJ451" s="20">
        <f t="shared" si="405"/>
        <v>-13.852321149288638</v>
      </c>
      <c r="BK451" s="43">
        <f t="shared" si="410"/>
        <v>57.970933991448987</v>
      </c>
      <c r="BL451">
        <f t="shared" si="406"/>
        <v>-25.439611376133424</v>
      </c>
      <c r="BM451" s="43">
        <f t="shared" si="407"/>
        <v>-44.357520379541889</v>
      </c>
    </row>
    <row r="452" spans="14:65" x14ac:dyDescent="0.25">
      <c r="N452" s="9">
        <v>34</v>
      </c>
      <c r="O452" s="34">
        <f t="shared" si="408"/>
        <v>218776.16239495538</v>
      </c>
      <c r="P452" s="33" t="str">
        <f t="shared" si="360"/>
        <v>19.6196196196196</v>
      </c>
      <c r="Q452" s="4" t="str">
        <f t="shared" si="361"/>
        <v>1+332.734334195219i</v>
      </c>
      <c r="R452" s="4">
        <f t="shared" si="373"/>
        <v>332.7358368921744</v>
      </c>
      <c r="S452" s="4">
        <f t="shared" si="374"/>
        <v>1.5677909351462593</v>
      </c>
      <c r="T452" s="4" t="str">
        <f t="shared" si="362"/>
        <v>1+5.1685379958954i</v>
      </c>
      <c r="U452" s="4">
        <f t="shared" si="375"/>
        <v>5.2643883799558742</v>
      </c>
      <c r="V452" s="4">
        <f t="shared" si="376"/>
        <v>1.3796794141800692</v>
      </c>
      <c r="W452" t="str">
        <f t="shared" si="363"/>
        <v>1-3.00696193245245i</v>
      </c>
      <c r="X452" s="4">
        <f t="shared" si="377"/>
        <v>3.1688830939651549</v>
      </c>
      <c r="Y452" s="4">
        <f t="shared" si="378"/>
        <v>-1.2497405145071994</v>
      </c>
      <c r="Z452" t="str">
        <f t="shared" si="364"/>
        <v>0.952136990767736+2.01282349764164i</v>
      </c>
      <c r="AA452" s="4">
        <f t="shared" si="379"/>
        <v>2.2266619145812339</v>
      </c>
      <c r="AB452" s="4">
        <f t="shared" si="380"/>
        <v>1.1289520573736267</v>
      </c>
      <c r="AC452" s="47" t="str">
        <f t="shared" si="381"/>
        <v>-0.370776199799404-0.240168540701867i</v>
      </c>
      <c r="AD452" s="20">
        <f t="shared" si="382"/>
        <v>-7.0961827380823772</v>
      </c>
      <c r="AE452" s="43">
        <f t="shared" si="383"/>
        <v>-147.06704135703984</v>
      </c>
      <c r="AF452" t="str">
        <f t="shared" si="365"/>
        <v>72.2956529813786</v>
      </c>
      <c r="AG452" t="str">
        <f t="shared" si="366"/>
        <v>1+271.348244784509i</v>
      </c>
      <c r="AH452">
        <f t="shared" si="384"/>
        <v>271.35008742883019</v>
      </c>
      <c r="AI452">
        <f t="shared" si="385"/>
        <v>1.5671110423233392</v>
      </c>
      <c r="AJ452" t="str">
        <f t="shared" si="367"/>
        <v>1+5.1685379958954i</v>
      </c>
      <c r="AK452">
        <f t="shared" si="386"/>
        <v>5.2643883799558742</v>
      </c>
      <c r="AL452">
        <f t="shared" si="387"/>
        <v>1.3796794141800692</v>
      </c>
      <c r="AM452" t="str">
        <f t="shared" si="368"/>
        <v>1-0.6654807706896i</v>
      </c>
      <c r="AN452">
        <f t="shared" si="388"/>
        <v>1.2011930136983082</v>
      </c>
      <c r="AO452">
        <f t="shared" si="389"/>
        <v>-0.5871811492130089</v>
      </c>
      <c r="AP452" s="41" t="str">
        <f t="shared" si="390"/>
        <v>1.20409794264944-1.17840077779539i</v>
      </c>
      <c r="AQ452">
        <f t="shared" si="391"/>
        <v>4.5308587655922317</v>
      </c>
      <c r="AR452" s="43">
        <f t="shared" si="392"/>
        <v>-44.382042899421613</v>
      </c>
      <c r="AS452" t="str">
        <f t="shared" si="369"/>
        <v>-0.0000166666666666667</v>
      </c>
      <c r="AT452" t="str">
        <f t="shared" si="370"/>
        <v>0.0046736779750118i</v>
      </c>
      <c r="AU452">
        <f t="shared" si="393"/>
        <v>4.6736779750117998E-3</v>
      </c>
      <c r="AV452">
        <f t="shared" si="394"/>
        <v>1.5707963267948966</v>
      </c>
      <c r="AW452" t="str">
        <f t="shared" si="371"/>
        <v>1+4.66963500098499i</v>
      </c>
      <c r="AX452">
        <f t="shared" si="395"/>
        <v>4.7755095060552541</v>
      </c>
      <c r="AY452">
        <f t="shared" si="396"/>
        <v>1.3598332314840915</v>
      </c>
      <c r="AZ452" t="str">
        <f t="shared" si="372"/>
        <v>1+158.767590033489i</v>
      </c>
      <c r="BA452">
        <f t="shared" si="397"/>
        <v>158.77073925960676</v>
      </c>
      <c r="BB452">
        <f t="shared" si="398"/>
        <v>1.5644978953811468</v>
      </c>
      <c r="BC452" s="41" t="str">
        <f t="shared" si="399"/>
        <v>-0.0240961363397539+0.116086232464451i</v>
      </c>
      <c r="BD452">
        <f t="shared" si="400"/>
        <v>-18.521185655193928</v>
      </c>
      <c r="BE452" s="43">
        <f t="shared" si="401"/>
        <v>101.72642145676481</v>
      </c>
      <c r="BF452" s="41" t="str">
        <f t="shared" si="402"/>
        <v>0.0368145349084672-0.0372548782209274i</v>
      </c>
      <c r="BG452" s="20">
        <f t="shared" si="403"/>
        <v>-25.617368393276301</v>
      </c>
      <c r="BH452" s="43">
        <f t="shared" si="404"/>
        <v>-45.340619900275009</v>
      </c>
      <c r="BI452" s="41" t="str">
        <f t="shared" si="409"/>
        <v>0.107781998434947+0.168174099485i</v>
      </c>
      <c r="BJ452" s="20">
        <f t="shared" si="405"/>
        <v>-13.990326889601699</v>
      </c>
      <c r="BK452" s="43">
        <f t="shared" si="410"/>
        <v>57.344378557343319</v>
      </c>
      <c r="BL452">
        <f t="shared" si="406"/>
        <v>-25.617368393276301</v>
      </c>
      <c r="BM452" s="43">
        <f t="shared" si="407"/>
        <v>-45.340619900275009</v>
      </c>
    </row>
    <row r="453" spans="14:65" x14ac:dyDescent="0.25">
      <c r="N453" s="9">
        <v>35</v>
      </c>
      <c r="O453" s="34">
        <f t="shared" si="408"/>
        <v>223872.11385683404</v>
      </c>
      <c r="P453" s="33" t="str">
        <f t="shared" si="360"/>
        <v>19.6196196196196</v>
      </c>
      <c r="Q453" s="4" t="str">
        <f t="shared" si="361"/>
        <v>1+340.484712473171i</v>
      </c>
      <c r="R453" s="4">
        <f t="shared" si="373"/>
        <v>340.48618096471688</v>
      </c>
      <c r="S453" s="4">
        <f t="shared" si="374"/>
        <v>1.5678593458143149</v>
      </c>
      <c r="T453" s="4" t="str">
        <f t="shared" si="362"/>
        <v>1+5.28892871153659i</v>
      </c>
      <c r="U453" s="4">
        <f t="shared" si="375"/>
        <v>5.382635684840289</v>
      </c>
      <c r="V453" s="4">
        <f t="shared" si="376"/>
        <v>1.3839280684722222</v>
      </c>
      <c r="W453" t="str">
        <f t="shared" si="363"/>
        <v>1-3.07700307353359i</v>
      </c>
      <c r="X453" s="4">
        <f t="shared" si="377"/>
        <v>3.2354208249523211</v>
      </c>
      <c r="Y453" s="4">
        <f t="shared" si="378"/>
        <v>-1.2565720699430474</v>
      </c>
      <c r="Z453" t="str">
        <f t="shared" si="364"/>
        <v>0.949881276637272+2.05970817983473i</v>
      </c>
      <c r="AA453" s="4">
        <f t="shared" si="379"/>
        <v>2.2681869909211958</v>
      </c>
      <c r="AB453" s="4">
        <f t="shared" si="380"/>
        <v>1.1386900857422866</v>
      </c>
      <c r="AC453" s="47" t="str">
        <f t="shared" si="381"/>
        <v>-0.374280493371074-0.235907815385755i</v>
      </c>
      <c r="AD453" s="20">
        <f t="shared" si="382"/>
        <v>-7.0832399910968977</v>
      </c>
      <c r="AE453" s="43">
        <f t="shared" si="383"/>
        <v>-147.77689826032923</v>
      </c>
      <c r="AF453" t="str">
        <f t="shared" si="365"/>
        <v>72.2956529813786</v>
      </c>
      <c r="AG453" t="str">
        <f t="shared" si="366"/>
        <v>1+277.668757355671i</v>
      </c>
      <c r="AH453">
        <f t="shared" si="384"/>
        <v>277.67055805656184</v>
      </c>
      <c r="AI453">
        <f t="shared" si="385"/>
        <v>1.5671949289056852</v>
      </c>
      <c r="AJ453" t="str">
        <f t="shared" si="367"/>
        <v>1+5.28892871153659i</v>
      </c>
      <c r="AK453">
        <f t="shared" si="386"/>
        <v>5.382635684840289</v>
      </c>
      <c r="AL453">
        <f t="shared" si="387"/>
        <v>1.3839280684722222</v>
      </c>
      <c r="AM453" t="str">
        <f t="shared" si="368"/>
        <v>1-0.680981809144265i</v>
      </c>
      <c r="AN453">
        <f t="shared" si="388"/>
        <v>1.2098496701596426</v>
      </c>
      <c r="AO453">
        <f t="shared" si="389"/>
        <v>-0.59784772002898812</v>
      </c>
      <c r="AP453" s="41" t="str">
        <f t="shared" si="390"/>
        <v>1.20405448738392-1.19378308843957i</v>
      </c>
      <c r="AQ453">
        <f t="shared" si="391"/>
        <v>4.5861749650233206</v>
      </c>
      <c r="AR453" s="43">
        <f t="shared" si="392"/>
        <v>-44.754568776630457</v>
      </c>
      <c r="AS453" t="str">
        <f t="shared" si="369"/>
        <v>-0.0000166666666666667</v>
      </c>
      <c r="AT453" t="str">
        <f t="shared" si="370"/>
        <v>0.00478254192000648i</v>
      </c>
      <c r="AU453">
        <f t="shared" si="393"/>
        <v>4.7825419200064802E-3</v>
      </c>
      <c r="AV453">
        <f t="shared" si="394"/>
        <v>1.5707963267948966</v>
      </c>
      <c r="AW453" t="str">
        <f t="shared" si="371"/>
        <v>1+4.77840477301688i</v>
      </c>
      <c r="AX453">
        <f t="shared" si="395"/>
        <v>4.8819209513049779</v>
      </c>
      <c r="AY453">
        <f t="shared" si="396"/>
        <v>1.3644987437652134</v>
      </c>
      <c r="AZ453" t="str">
        <f t="shared" si="372"/>
        <v>1+162.465762282574i</v>
      </c>
      <c r="BA453">
        <f t="shared" si="397"/>
        <v>162.46883982492716</v>
      </c>
      <c r="BB453">
        <f t="shared" si="398"/>
        <v>1.5646412615205734</v>
      </c>
      <c r="BC453" s="41" t="str">
        <f t="shared" si="399"/>
        <v>-0.0230571355993165+0.113661223941483i</v>
      </c>
      <c r="BD453">
        <f t="shared" si="400"/>
        <v>-18.712613990910359</v>
      </c>
      <c r="BE453" s="43">
        <f t="shared" si="401"/>
        <v>101.46732156850423</v>
      </c>
      <c r="BF453" s="41" t="str">
        <f t="shared" si="402"/>
        <v>0.0354434071219423-0.0371018204856905i</v>
      </c>
      <c r="BG453" s="20">
        <f t="shared" si="403"/>
        <v>-25.795853982007255</v>
      </c>
      <c r="BH453" s="43">
        <f t="shared" si="404"/>
        <v>-46.309576691824972</v>
      </c>
      <c r="BI453" s="41" t="str">
        <f t="shared" si="409"/>
        <v>0.107924799368109+0.164379525274613i</v>
      </c>
      <c r="BJ453" s="20">
        <f t="shared" si="405"/>
        <v>-14.126439025887041</v>
      </c>
      <c r="BK453" s="43">
        <f t="shared" si="410"/>
        <v>56.71275279187364</v>
      </c>
      <c r="BL453">
        <f t="shared" si="406"/>
        <v>-25.795853982007255</v>
      </c>
      <c r="BM453" s="43">
        <f t="shared" si="407"/>
        <v>-46.309576691824972</v>
      </c>
    </row>
    <row r="454" spans="14:65" x14ac:dyDescent="0.25">
      <c r="N454" s="9">
        <v>36</v>
      </c>
      <c r="O454" s="34">
        <f t="shared" si="408"/>
        <v>229086.76527677779</v>
      </c>
      <c r="P454" s="33" t="str">
        <f t="shared" si="360"/>
        <v>19.6196196196196</v>
      </c>
      <c r="Q454" s="4" t="str">
        <f t="shared" si="361"/>
        <v>1+348.415620252523i</v>
      </c>
      <c r="R454" s="4">
        <f t="shared" si="373"/>
        <v>348.41705531725955</v>
      </c>
      <c r="S454" s="4">
        <f t="shared" si="374"/>
        <v>1.5679261992920126</v>
      </c>
      <c r="T454" s="4" t="str">
        <f t="shared" si="362"/>
        <v>1+5.41212368718787i</v>
      </c>
      <c r="U454" s="4">
        <f t="shared" si="375"/>
        <v>5.5037335332862938</v>
      </c>
      <c r="V454" s="4">
        <f t="shared" si="376"/>
        <v>1.3880866178485338</v>
      </c>
      <c r="W454" t="str">
        <f t="shared" si="363"/>
        <v>1-3.14867568237327i</v>
      </c>
      <c r="X454" s="4">
        <f t="shared" si="377"/>
        <v>3.3036583589664312</v>
      </c>
      <c r="Y454" s="4">
        <f t="shared" si="378"/>
        <v>-1.263277560597551</v>
      </c>
      <c r="Z454" t="str">
        <f t="shared" si="364"/>
        <v>0.947519253975022+2.10768494656823i</v>
      </c>
      <c r="AA454" s="4">
        <f t="shared" si="379"/>
        <v>2.3108718204702972</v>
      </c>
      <c r="AB454" s="4">
        <f t="shared" si="380"/>
        <v>1.1483129399337362</v>
      </c>
      <c r="AC454" s="47" t="str">
        <f t="shared" si="381"/>
        <v>-0.377686475254319-0.231646037040207i</v>
      </c>
      <c r="AD454" s="20">
        <f t="shared" si="382"/>
        <v>-7.0706430220909606</v>
      </c>
      <c r="AE454" s="43">
        <f t="shared" si="383"/>
        <v>-148.47800660039502</v>
      </c>
      <c r="AF454" t="str">
        <f t="shared" si="365"/>
        <v>72.2956529813786</v>
      </c>
      <c r="AG454" t="str">
        <f t="shared" si="366"/>
        <v>1+284.136493577363i</v>
      </c>
      <c r="AH454">
        <f t="shared" si="384"/>
        <v>284.1382532895542</v>
      </c>
      <c r="AI454">
        <f t="shared" si="385"/>
        <v>1.5672769060452696</v>
      </c>
      <c r="AJ454" t="str">
        <f t="shared" si="367"/>
        <v>1+5.41212368718787i</v>
      </c>
      <c r="AK454">
        <f t="shared" si="386"/>
        <v>5.5037335332862938</v>
      </c>
      <c r="AL454">
        <f t="shared" si="387"/>
        <v>1.3880866178485338</v>
      </c>
      <c r="AM454" t="str">
        <f t="shared" si="368"/>
        <v>1-0.696843913167996i</v>
      </c>
      <c r="AN454">
        <f t="shared" si="388"/>
        <v>1.218848407029884</v>
      </c>
      <c r="AO454">
        <f t="shared" si="389"/>
        <v>-0.60860464314780338</v>
      </c>
      <c r="AP454" s="41" t="str">
        <f t="shared" si="390"/>
        <v>1.20401298787794-1.20979834458791i</v>
      </c>
      <c r="AQ454">
        <f t="shared" si="391"/>
        <v>4.6437914294999807</v>
      </c>
      <c r="AR454" s="43">
        <f t="shared" si="392"/>
        <v>-45.137324687840525</v>
      </c>
      <c r="AS454" t="str">
        <f t="shared" si="369"/>
        <v>-0.0000166666666666667</v>
      </c>
      <c r="AT454" t="str">
        <f t="shared" si="370"/>
        <v>0.00489394163203159i</v>
      </c>
      <c r="AU454">
        <f t="shared" si="393"/>
        <v>4.89394163203159E-3</v>
      </c>
      <c r="AV454">
        <f t="shared" si="394"/>
        <v>1.5707963267948966</v>
      </c>
      <c r="AW454" t="str">
        <f t="shared" si="371"/>
        <v>1+4.88970811850908i</v>
      </c>
      <c r="AX454">
        <f t="shared" si="395"/>
        <v>4.9909162970554419</v>
      </c>
      <c r="AY454">
        <f t="shared" si="396"/>
        <v>1.3690668763407228</v>
      </c>
      <c r="AZ454" t="str">
        <f t="shared" si="372"/>
        <v>1+166.250076029308i</v>
      </c>
      <c r="BA454">
        <f t="shared" si="397"/>
        <v>166.2530835195266</v>
      </c>
      <c r="BB454">
        <f t="shared" si="398"/>
        <v>1.5647813644927393</v>
      </c>
      <c r="BC454" s="41" t="str">
        <f t="shared" si="399"/>
        <v>-0.0220610544707809+0.111277688346633i</v>
      </c>
      <c r="BD454">
        <f t="shared" si="400"/>
        <v>-18.904412263244836</v>
      </c>
      <c r="BE454" s="43">
        <f t="shared" si="401"/>
        <v>101.21361416067374</v>
      </c>
      <c r="BF454" s="41" t="str">
        <f t="shared" si="402"/>
        <v>0.0341091974199555-0.0369177220450039i</v>
      </c>
      <c r="BG454" s="20">
        <f t="shared" si="403"/>
        <v>-25.975055285335799</v>
      </c>
      <c r="BH454" s="43">
        <f t="shared" si="404"/>
        <v>-47.264392439721306</v>
      </c>
      <c r="BI454" s="41" t="str">
        <f t="shared" si="409"/>
        <v>0.108061767042223+0.160669209208994i</v>
      </c>
      <c r="BJ454" s="20">
        <f t="shared" si="405"/>
        <v>-14.260620833744866</v>
      </c>
      <c r="BK454" s="43">
        <f t="shared" si="410"/>
        <v>56.076289472833189</v>
      </c>
      <c r="BL454">
        <f t="shared" si="406"/>
        <v>-25.975055285335799</v>
      </c>
      <c r="BM454" s="43">
        <f t="shared" si="407"/>
        <v>-47.264392439721306</v>
      </c>
    </row>
    <row r="455" spans="14:65" x14ac:dyDescent="0.25">
      <c r="N455" s="9">
        <v>37</v>
      </c>
      <c r="O455" s="34">
        <f t="shared" si="408"/>
        <v>234422.88153199267</v>
      </c>
      <c r="P455" s="33" t="str">
        <f t="shared" si="360"/>
        <v>19.6196196196196</v>
      </c>
      <c r="Q455" s="4" t="str">
        <f t="shared" si="361"/>
        <v>1+356.531262605559i</v>
      </c>
      <c r="R455" s="4">
        <f t="shared" si="373"/>
        <v>356.53266500436405</v>
      </c>
      <c r="S455" s="4">
        <f t="shared" si="374"/>
        <v>1.5679915310235597</v>
      </c>
      <c r="T455" s="4" t="str">
        <f t="shared" si="362"/>
        <v>1+5.53818824245603i</v>
      </c>
      <c r="U455" s="4">
        <f t="shared" si="375"/>
        <v>5.6277463525711786</v>
      </c>
      <c r="V455" s="4">
        <f t="shared" si="376"/>
        <v>1.3921566916181067</v>
      </c>
      <c r="W455" t="str">
        <f t="shared" si="363"/>
        <v>1-3.22201776073739i</v>
      </c>
      <c r="X455" s="4">
        <f t="shared" si="377"/>
        <v>3.3736328268658973</v>
      </c>
      <c r="Y455" s="4">
        <f t="shared" si="378"/>
        <v>-1.2698581289432769</v>
      </c>
      <c r="Z455" t="str">
        <f t="shared" si="364"/>
        <v>0.945045912614237+2.1567792357589i</v>
      </c>
      <c r="AA455" s="4">
        <f t="shared" si="379"/>
        <v>2.3547416946980877</v>
      </c>
      <c r="AB455" s="4">
        <f t="shared" si="380"/>
        <v>1.1578197907421108</v>
      </c>
      <c r="AC455" s="47" t="str">
        <f t="shared" si="381"/>
        <v>-0.380994661610957-0.227386220979513i</v>
      </c>
      <c r="AD455" s="20">
        <f t="shared" si="382"/>
        <v>-7.0583937406501764</v>
      </c>
      <c r="AE455" s="43">
        <f t="shared" si="383"/>
        <v>-149.17029300436539</v>
      </c>
      <c r="AF455" t="str">
        <f t="shared" si="365"/>
        <v>72.2956529813786</v>
      </c>
      <c r="AG455" t="str">
        <f t="shared" si="366"/>
        <v>1+290.754882728942i</v>
      </c>
      <c r="AH455">
        <f t="shared" si="384"/>
        <v>290.75660238543304</v>
      </c>
      <c r="AI455">
        <f t="shared" si="385"/>
        <v>1.5673570172030471</v>
      </c>
      <c r="AJ455" t="str">
        <f t="shared" si="367"/>
        <v>1+5.53818824245603i</v>
      </c>
      <c r="AK455">
        <f t="shared" si="386"/>
        <v>5.6277463525711786</v>
      </c>
      <c r="AL455">
        <f t="shared" si="387"/>
        <v>1.3921566916181067</v>
      </c>
      <c r="AM455" t="str">
        <f t="shared" si="368"/>
        <v>1-0.713075493058309i</v>
      </c>
      <c r="AN455">
        <f t="shared" si="388"/>
        <v>1.2282005775932328</v>
      </c>
      <c r="AO455">
        <f t="shared" si="389"/>
        <v>-0.61944766448575106</v>
      </c>
      <c r="AP455" s="41" t="str">
        <f t="shared" si="390"/>
        <v>1.20397335611217-1.22645503868169i</v>
      </c>
      <c r="AQ455">
        <f t="shared" si="391"/>
        <v>4.7037282365185309</v>
      </c>
      <c r="AR455" s="43">
        <f t="shared" si="392"/>
        <v>-45.529976029604342</v>
      </c>
      <c r="AS455" t="str">
        <f t="shared" si="369"/>
        <v>-0.0000166666666666667</v>
      </c>
      <c r="AT455" t="str">
        <f t="shared" si="370"/>
        <v>0.00500793617668896i</v>
      </c>
      <c r="AU455">
        <f t="shared" si="393"/>
        <v>5.0079361766889596E-3</v>
      </c>
      <c r="AV455">
        <f t="shared" si="394"/>
        <v>1.5707963267948966</v>
      </c>
      <c r="AW455" t="str">
        <f t="shared" si="371"/>
        <v>1+5.00360405196866i</v>
      </c>
      <c r="AX455">
        <f t="shared" si="395"/>
        <v>5.1025536262617761</v>
      </c>
      <c r="AY455">
        <f t="shared" si="396"/>
        <v>1.3735392883201865</v>
      </c>
      <c r="AZ455" t="str">
        <f t="shared" si="372"/>
        <v>1+170.122537766934i</v>
      </c>
      <c r="BA455">
        <f t="shared" si="397"/>
        <v>170.12547679951373</v>
      </c>
      <c r="BB455">
        <f t="shared" si="398"/>
        <v>1.5649182785600819</v>
      </c>
      <c r="BC455" s="41" t="str">
        <f t="shared" si="399"/>
        <v>-0.021106279462282+0.108935516372743i</v>
      </c>
      <c r="BD455">
        <f t="shared" si="400"/>
        <v>-19.096565162303005</v>
      </c>
      <c r="BE455" s="43">
        <f t="shared" si="401"/>
        <v>100.9652084282214</v>
      </c>
      <c r="BF455" s="41" t="str">
        <f t="shared" si="402"/>
        <v>0.0328118152000483-0.0367045730719823i</v>
      </c>
      <c r="BG455" s="20">
        <f t="shared" si="403"/>
        <v>-26.154958902953179</v>
      </c>
      <c r="BH455" s="43">
        <f t="shared" si="404"/>
        <v>-48.205084576144031</v>
      </c>
      <c r="BI455" s="41" t="str">
        <f t="shared" si="409"/>
        <v>0.108193114827497+0.157041362041443i</v>
      </c>
      <c r="BJ455" s="20">
        <f t="shared" si="405"/>
        <v>-14.392836925784493</v>
      </c>
      <c r="BK455" s="43">
        <f t="shared" si="410"/>
        <v>55.435232398617117</v>
      </c>
      <c r="BL455">
        <f t="shared" si="406"/>
        <v>-26.154958902953179</v>
      </c>
      <c r="BM455" s="43">
        <f t="shared" si="407"/>
        <v>-48.205084576144031</v>
      </c>
    </row>
    <row r="456" spans="14:65" x14ac:dyDescent="0.25">
      <c r="N456" s="9">
        <v>38</v>
      </c>
      <c r="O456" s="34">
        <f t="shared" si="408"/>
        <v>239883.29190194907</v>
      </c>
      <c r="P456" s="33" t="str">
        <f t="shared" si="360"/>
        <v>19.6196196196196</v>
      </c>
      <c r="Q456" s="4" t="str">
        <f t="shared" si="361"/>
        <v>1+364.835942553277i</v>
      </c>
      <c r="R456" s="4">
        <f t="shared" si="373"/>
        <v>364.83731302970921</v>
      </c>
      <c r="S456" s="4">
        <f t="shared" si="374"/>
        <v>1.5680553756464728</v>
      </c>
      <c r="T456" s="4" t="str">
        <f t="shared" si="362"/>
        <v>1+5.6671892184369i</v>
      </c>
      <c r="U456" s="4">
        <f t="shared" si="375"/>
        <v>5.7547401016525006</v>
      </c>
      <c r="V456" s="4">
        <f t="shared" si="376"/>
        <v>1.3961399081402914</v>
      </c>
      <c r="W456" t="str">
        <f t="shared" si="363"/>
        <v>1-3.29706819556669i</v>
      </c>
      <c r="X456" s="4">
        <f t="shared" si="377"/>
        <v>3.4453822264325602</v>
      </c>
      <c r="Y456" s="4">
        <f t="shared" si="378"/>
        <v>-1.2763149835557874</v>
      </c>
      <c r="Z456" t="str">
        <f t="shared" si="364"/>
        <v>0.942456006266284+2.20701707784872i</v>
      </c>
      <c r="AA456" s="4">
        <f t="shared" si="379"/>
        <v>2.3998224321110295</v>
      </c>
      <c r="AB456" s="4">
        <f t="shared" si="380"/>
        <v>1.1672099979203359</v>
      </c>
      <c r="AC456" s="47" t="str">
        <f t="shared" si="381"/>
        <v>-0.38420573642513-0.223131275511003i</v>
      </c>
      <c r="AD456" s="20">
        <f t="shared" si="382"/>
        <v>-7.0464930073357381</v>
      </c>
      <c r="AE456" s="43">
        <f t="shared" si="383"/>
        <v>-149.85369929448711</v>
      </c>
      <c r="AF456" t="str">
        <f t="shared" si="365"/>
        <v>72.2956529813786</v>
      </c>
      <c r="AG456" t="str">
        <f t="shared" si="366"/>
        <v>1+297.527433967938i</v>
      </c>
      <c r="AH456">
        <f t="shared" si="384"/>
        <v>297.52911448049201</v>
      </c>
      <c r="AI456">
        <f t="shared" si="385"/>
        <v>1.5674353048508987</v>
      </c>
      <c r="AJ456" t="str">
        <f t="shared" si="367"/>
        <v>1+5.6671892184369i</v>
      </c>
      <c r="AK456">
        <f t="shared" si="386"/>
        <v>5.7547401016525006</v>
      </c>
      <c r="AL456">
        <f t="shared" si="387"/>
        <v>1.3961399081402914</v>
      </c>
      <c r="AM456" t="str">
        <f t="shared" si="368"/>
        <v>1-0.729685155013709i</v>
      </c>
      <c r="AN456">
        <f t="shared" si="388"/>
        <v>1.2379177781449706</v>
      </c>
      <c r="AO456">
        <f t="shared" si="389"/>
        <v>-0.63037233468539777</v>
      </c>
      <c r="AP456" s="41" t="str">
        <f t="shared" si="390"/>
        <v>1.20393550802844-1.24376200319832i</v>
      </c>
      <c r="AQ456">
        <f t="shared" si="391"/>
        <v>4.7660045918828295</v>
      </c>
      <c r="AR456" s="43">
        <f t="shared" si="392"/>
        <v>-45.932177580818511</v>
      </c>
      <c r="AS456" t="str">
        <f t="shared" si="369"/>
        <v>-0.0000166666666666667</v>
      </c>
      <c r="AT456" t="str">
        <f t="shared" si="370"/>
        <v>0.00512458599539507i</v>
      </c>
      <c r="AU456">
        <f t="shared" si="393"/>
        <v>5.1245859953950703E-3</v>
      </c>
      <c r="AV456">
        <f t="shared" si="394"/>
        <v>1.5707963267948966</v>
      </c>
      <c r="AW456" t="str">
        <f t="shared" si="371"/>
        <v>1+5.1201529625271i</v>
      </c>
      <c r="AX456">
        <f t="shared" si="395"/>
        <v>5.2168924044564156</v>
      </c>
      <c r="AY456">
        <f t="shared" si="396"/>
        <v>1.3779176350218605</v>
      </c>
      <c r="AZ456" t="str">
        <f t="shared" si="372"/>
        <v>1+174.085200725921i</v>
      </c>
      <c r="BA456">
        <f t="shared" si="397"/>
        <v>174.08807285906809</v>
      </c>
      <c r="BB456">
        <f t="shared" si="398"/>
        <v>1.5650520762957081</v>
      </c>
      <c r="BC456" s="41" t="str">
        <f t="shared" si="399"/>
        <v>-0.0201912441465792+0.10663455377946i</v>
      </c>
      <c r="BD456">
        <f t="shared" si="400"/>
        <v>-19.289057956148831</v>
      </c>
      <c r="BE456" s="43">
        <f t="shared" si="401"/>
        <v>100.72201368653015</v>
      </c>
      <c r="BF456" s="41" t="str">
        <f t="shared" si="402"/>
        <v>0.0315510958250336-0.0364643092026223i</v>
      </c>
      <c r="BG456" s="20">
        <f t="shared" si="403"/>
        <v>-26.335550963484561</v>
      </c>
      <c r="BH456" s="43">
        <f t="shared" si="404"/>
        <v>-49.13168560795701</v>
      </c>
      <c r="BI456" s="41" t="str">
        <f t="shared" si="409"/>
        <v>0.108319050439562+0.153494227944676i</v>
      </c>
      <c r="BJ456" s="20">
        <f t="shared" si="405"/>
        <v>-14.523053364265996</v>
      </c>
      <c r="BK456" s="43">
        <f t="shared" si="410"/>
        <v>54.789836105711686</v>
      </c>
      <c r="BL456">
        <f t="shared" si="406"/>
        <v>-26.335550963484561</v>
      </c>
      <c r="BM456" s="43">
        <f t="shared" si="407"/>
        <v>-49.13168560795701</v>
      </c>
    </row>
    <row r="457" spans="14:65" x14ac:dyDescent="0.25">
      <c r="N457" s="9">
        <v>39</v>
      </c>
      <c r="O457" s="34">
        <f t="shared" si="408"/>
        <v>245470.89156850305</v>
      </c>
      <c r="P457" s="33" t="str">
        <f t="shared" si="360"/>
        <v>19.6196196196196</v>
      </c>
      <c r="Q457" s="4" t="str">
        <f t="shared" si="361"/>
        <v>1+373.334063346912i</v>
      </c>
      <c r="R457" s="4">
        <f t="shared" si="373"/>
        <v>373.33540262760522</v>
      </c>
      <c r="S457" s="4">
        <f t="shared" si="374"/>
        <v>1.5681177670099333</v>
      </c>
      <c r="T457" s="4" t="str">
        <f t="shared" si="362"/>
        <v>1+5.79919501315551i</v>
      </c>
      <c r="U457" s="4">
        <f t="shared" si="375"/>
        <v>5.8847823069853433</v>
      </c>
      <c r="V457" s="4">
        <f t="shared" si="376"/>
        <v>1.4000378735367485</v>
      </c>
      <c r="W457" t="str">
        <f t="shared" si="363"/>
        <v>1-3.37386677959514i</v>
      </c>
      <c r="X457" s="4">
        <f t="shared" si="377"/>
        <v>3.5189454452229976</v>
      </c>
      <c r="Y457" s="4">
        <f t="shared" si="378"/>
        <v>-1.2826493936165517</v>
      </c>
      <c r="Z457" t="str">
        <f t="shared" si="364"/>
        <v>0.939744041392565+2.25842510960654i</v>
      </c>
      <c r="AA457" s="4">
        <f t="shared" si="379"/>
        <v>2.4461403964274298</v>
      </c>
      <c r="AB457" s="4">
        <f t="shared" si="380"/>
        <v>1.1764831044366142</v>
      </c>
      <c r="AC457" s="47" t="str">
        <f t="shared" si="381"/>
        <v>-0.387320539573304-0.218883995247287i</v>
      </c>
      <c r="AD457" s="20">
        <f t="shared" si="382"/>
        <v>-7.0349407201989855</v>
      </c>
      <c r="AE457" s="43">
        <f t="shared" si="383"/>
        <v>-150.52818191893158</v>
      </c>
      <c r="AF457" t="str">
        <f t="shared" si="365"/>
        <v>72.2956529813786</v>
      </c>
      <c r="AG457" t="str">
        <f t="shared" si="366"/>
        <v>1+304.457738190665i</v>
      </c>
      <c r="AH457">
        <f t="shared" si="384"/>
        <v>304.4593804502918</v>
      </c>
      <c r="AI457">
        <f t="shared" si="385"/>
        <v>1.5675118104941304</v>
      </c>
      <c r="AJ457" t="str">
        <f t="shared" si="367"/>
        <v>1+5.79919501315551i</v>
      </c>
      <c r="AK457">
        <f t="shared" si="386"/>
        <v>5.8847823069853433</v>
      </c>
      <c r="AL457">
        <f t="shared" si="387"/>
        <v>1.4000378735367485</v>
      </c>
      <c r="AM457" t="str">
        <f t="shared" si="368"/>
        <v>1-0.746681705696823i</v>
      </c>
      <c r="AN457">
        <f t="shared" si="388"/>
        <v>1.2480118467475849</v>
      </c>
      <c r="AO457">
        <f t="shared" si="389"/>
        <v>-0.6413740156480644</v>
      </c>
      <c r="AP457" s="41" t="str">
        <f t="shared" si="390"/>
        <v>1.20389936335147-1.26172841533859i</v>
      </c>
      <c r="AQ457">
        <f t="shared" si="391"/>
        <v>4.8306387020803667</v>
      </c>
      <c r="AR457" s="43">
        <f t="shared" si="392"/>
        <v>-46.34357395208955</v>
      </c>
      <c r="AS457" t="str">
        <f t="shared" si="369"/>
        <v>-0.0000166666666666667</v>
      </c>
      <c r="AT457" t="str">
        <f t="shared" si="370"/>
        <v>0.00524395293742787i</v>
      </c>
      <c r="AU457">
        <f t="shared" si="393"/>
        <v>5.2439529374278702E-3</v>
      </c>
      <c r="AV457">
        <f t="shared" si="394"/>
        <v>1.5707963267948966</v>
      </c>
      <c r="AW457" t="str">
        <f t="shared" si="371"/>
        <v>1+5.23941664595951i</v>
      </c>
      <c r="AX457">
        <f t="shared" si="395"/>
        <v>5.3339935123655335</v>
      </c>
      <c r="AY457">
        <f t="shared" si="396"/>
        <v>1.3822035661213365</v>
      </c>
      <c r="AZ457" t="str">
        <f t="shared" si="372"/>
        <v>1+178.140165962623i</v>
      </c>
      <c r="BA457">
        <f t="shared" si="397"/>
        <v>178.14297271907995</v>
      </c>
      <c r="BB457">
        <f t="shared" si="398"/>
        <v>1.5651828286217755</v>
      </c>
      <c r="BC457" s="41" t="str">
        <f t="shared" si="399"/>
        <v>-0.0193144289966332+0.104374604759354i</v>
      </c>
      <c r="BD457">
        <f t="shared" si="400"/>
        <v>-19.48187647373258</v>
      </c>
      <c r="BE457" s="43">
        <f t="shared" si="401"/>
        <v>100.48393947969144</v>
      </c>
      <c r="BF457" s="41" t="str">
        <f t="shared" si="402"/>
        <v>0.0303268055526101-0.0361988088484402i</v>
      </c>
      <c r="BG457" s="20">
        <f t="shared" si="403"/>
        <v>-26.516817193931573</v>
      </c>
      <c r="BH457" s="43">
        <f t="shared" si="404"/>
        <v>-50.044242439240165</v>
      </c>
      <c r="BI457" s="41" t="str">
        <f t="shared" si="409"/>
        <v>0.108439775892067+0.150026084110939i</v>
      </c>
      <c r="BJ457" s="20">
        <f t="shared" si="405"/>
        <v>-14.651237771652241</v>
      </c>
      <c r="BK457" s="43">
        <f t="shared" si="410"/>
        <v>54.140365527601965</v>
      </c>
      <c r="BL457">
        <f t="shared" si="406"/>
        <v>-26.516817193931573</v>
      </c>
      <c r="BM457" s="43">
        <f t="shared" si="407"/>
        <v>-50.044242439240165</v>
      </c>
    </row>
    <row r="458" spans="14:65" x14ac:dyDescent="0.25">
      <c r="N458" s="9">
        <v>40</v>
      </c>
      <c r="O458" s="34">
        <f t="shared" si="408"/>
        <v>251188.64315095844</v>
      </c>
      <c r="P458" s="33" t="str">
        <f t="shared" si="360"/>
        <v>19.6196196196196</v>
      </c>
      <c r="Q458" s="4" t="str">
        <f t="shared" si="361"/>
        <v>1+382.030130802595i</v>
      </c>
      <c r="R458" s="4">
        <f t="shared" si="373"/>
        <v>382.03143959764344</v>
      </c>
      <c r="S458" s="4">
        <f t="shared" si="374"/>
        <v>1.5681787381927235</v>
      </c>
      <c r="T458" s="4" t="str">
        <f t="shared" si="362"/>
        <v>1+5.93427561783156i</v>
      </c>
      <c r="U458" s="4">
        <f t="shared" si="375"/>
        <v>6.0179420991224344</v>
      </c>
      <c r="V458" s="4">
        <f t="shared" si="376"/>
        <v>1.4038521805144737</v>
      </c>
      <c r="W458" t="str">
        <f t="shared" si="363"/>
        <v>1-3.45245423244855i</v>
      </c>
      <c r="X458" s="4">
        <f t="shared" si="377"/>
        <v>3.5943622837927602</v>
      </c>
      <c r="Y458" s="4">
        <f t="shared" si="378"/>
        <v>-1.2888626836207</v>
      </c>
      <c r="Z458" t="str">
        <f t="shared" si="364"/>
        <v>0.93690426555198+2.31103058825127i</v>
      </c>
      <c r="AA458" s="4">
        <f t="shared" si="379"/>
        <v>2.4937225151653313</v>
      </c>
      <c r="AB458" s="4">
        <f t="shared" si="380"/>
        <v>1.185638830458831</v>
      </c>
      <c r="AC458" s="47" t="str">
        <f t="shared" si="381"/>
        <v>-0.390340054887592-0.21464705547536i</v>
      </c>
      <c r="AD458" s="20">
        <f t="shared" si="382"/>
        <v>-7.0237358982165397</v>
      </c>
      <c r="AE458" s="43">
        <f t="shared" si="383"/>
        <v>-151.19371137236595</v>
      </c>
      <c r="AF458" t="str">
        <f t="shared" si="365"/>
        <v>72.2956529813786</v>
      </c>
      <c r="AG458" t="str">
        <f t="shared" si="366"/>
        <v>1+311.549469936157i</v>
      </c>
      <c r="AH458">
        <f t="shared" si="384"/>
        <v>311.55107481358556</v>
      </c>
      <c r="AI458">
        <f t="shared" si="385"/>
        <v>1.567586574693463</v>
      </c>
      <c r="AJ458" t="str">
        <f t="shared" si="367"/>
        <v>1+5.93427561783156i</v>
      </c>
      <c r="AK458">
        <f t="shared" si="386"/>
        <v>6.0179420991224344</v>
      </c>
      <c r="AL458">
        <f t="shared" si="387"/>
        <v>1.4038521805144737</v>
      </c>
      <c r="AM458" t="str">
        <f t="shared" si="368"/>
        <v>1-0.764074156903802i</v>
      </c>
      <c r="AN458">
        <f t="shared" si="388"/>
        <v>1.2584948618283094</v>
      </c>
      <c r="AO458">
        <f t="shared" si="389"/>
        <v>-0.65244788805673548</v>
      </c>
      <c r="AP458" s="41" t="str">
        <f t="shared" si="390"/>
        <v>1.20386484541863-1.28036380189652i</v>
      </c>
      <c r="AQ458">
        <f t="shared" si="391"/>
        <v>4.8976476495748376</v>
      </c>
      <c r="AR458" s="43">
        <f t="shared" si="392"/>
        <v>-46.763800085462371</v>
      </c>
      <c r="AS458" t="str">
        <f t="shared" si="369"/>
        <v>-0.0000166666666666667</v>
      </c>
      <c r="AT458" t="str">
        <f t="shared" si="370"/>
        <v>0.00536610029272003i</v>
      </c>
      <c r="AU458">
        <f t="shared" si="393"/>
        <v>5.36610029272003E-3</v>
      </c>
      <c r="AV458">
        <f t="shared" si="394"/>
        <v>1.5707963267948966</v>
      </c>
      <c r="AW458" t="str">
        <f t="shared" si="371"/>
        <v>1+5.36145833744952i</v>
      </c>
      <c r="AX458">
        <f t="shared" si="395"/>
        <v>5.453919279216275</v>
      </c>
      <c r="AY458">
        <f t="shared" si="396"/>
        <v>1.386398723938882</v>
      </c>
      <c r="AZ458" t="str">
        <f t="shared" si="372"/>
        <v>1+182.289583473283i</v>
      </c>
      <c r="BA458">
        <f t="shared" si="397"/>
        <v>182.29232634113538</v>
      </c>
      <c r="BB458">
        <f t="shared" si="398"/>
        <v>1.5653106048470049</v>
      </c>
      <c r="BC458" s="41" t="str">
        <f t="shared" si="399"/>
        <v>-0.0184743610913945+0.102155435149271i</v>
      </c>
      <c r="BD458">
        <f t="shared" si="400"/>
        <v>-19.675007087901818</v>
      </c>
      <c r="BE458" s="43">
        <f t="shared" si="401"/>
        <v>100.25089568078262</v>
      </c>
      <c r="BF458" s="41" t="str">
        <f t="shared" si="402"/>
        <v>0.0291386464780232-0.0359098909531759i</v>
      </c>
      <c r="BG458" s="20">
        <f t="shared" si="403"/>
        <v>-26.698742986118358</v>
      </c>
      <c r="BH458" s="43">
        <f t="shared" si="404"/>
        <v>-50.942815691583377</v>
      </c>
      <c r="BI458" s="41" t="str">
        <f t="shared" si="409"/>
        <v>0.108555487472614+0.146635240349237i</v>
      </c>
      <c r="BJ458" s="20">
        <f t="shared" si="405"/>
        <v>-14.777359438326991</v>
      </c>
      <c r="BK458" s="43">
        <f t="shared" si="410"/>
        <v>53.487095595320362</v>
      </c>
      <c r="BL458">
        <f t="shared" si="406"/>
        <v>-26.698742986118358</v>
      </c>
      <c r="BM458" s="43">
        <f t="shared" si="407"/>
        <v>-50.942815691583377</v>
      </c>
    </row>
    <row r="459" spans="14:65" x14ac:dyDescent="0.25">
      <c r="N459" s="9">
        <v>41</v>
      </c>
      <c r="O459" s="34">
        <f t="shared" si="408"/>
        <v>257039.57827688678</v>
      </c>
      <c r="P459" s="33" t="str">
        <f t="shared" si="360"/>
        <v>19.6196196196196</v>
      </c>
      <c r="Q459" s="4" t="str">
        <f t="shared" si="361"/>
        <v>1+390.928755690395i</v>
      </c>
      <c r="R459" s="4">
        <f t="shared" si="373"/>
        <v>390.93003469372957</v>
      </c>
      <c r="S459" s="4">
        <f t="shared" si="374"/>
        <v>1.5682383215207574</v>
      </c>
      <c r="T459" s="4" t="str">
        <f t="shared" si="362"/>
        <v>1+6.07250265398956i</v>
      </c>
      <c r="U459" s="4">
        <f t="shared" si="375"/>
        <v>6.1542902501190389</v>
      </c>
      <c r="V459" s="4">
        <f t="shared" si="376"/>
        <v>1.4075844072938664</v>
      </c>
      <c r="W459" t="str">
        <f t="shared" si="363"/>
        <v>1-3.53287222223462i</v>
      </c>
      <c r="X459" s="4">
        <f t="shared" si="377"/>
        <v>3.6716734793057211</v>
      </c>
      <c r="Y459" s="4">
        <f t="shared" si="378"/>
        <v>-1.2949562282939524</v>
      </c>
      <c r="Z459" t="str">
        <f t="shared" si="364"/>
        <v>0.93393065519924+2.36486140590399i</v>
      </c>
      <c r="AA459" s="4">
        <f t="shared" si="379"/>
        <v>2.5425962986394586</v>
      </c>
      <c r="AB459" s="4">
        <f t="shared" si="380"/>
        <v>1.1946770671162297</v>
      </c>
      <c r="AC459" s="47" t="str">
        <f t="shared" si="381"/>
        <v>-0.393265398295768-0.21042300753748i</v>
      </c>
      <c r="AD459" s="20">
        <f t="shared" si="382"/>
        <v>-7.0128767614527332</v>
      </c>
      <c r="AE459" s="43">
        <f t="shared" si="383"/>
        <v>-151.85027160970796</v>
      </c>
      <c r="AF459" t="str">
        <f t="shared" si="365"/>
        <v>72.2956529813786</v>
      </c>
      <c r="AG459" t="str">
        <f t="shared" si="366"/>
        <v>1+318.806389334452i</v>
      </c>
      <c r="AH459">
        <f t="shared" si="384"/>
        <v>318.80795768059204</v>
      </c>
      <c r="AI459">
        <f t="shared" si="385"/>
        <v>1.567659637086519</v>
      </c>
      <c r="AJ459" t="str">
        <f t="shared" si="367"/>
        <v>1+6.07250265398956i</v>
      </c>
      <c r="AK459">
        <f t="shared" si="386"/>
        <v>6.1542902501190389</v>
      </c>
      <c r="AL459">
        <f t="shared" si="387"/>
        <v>1.4075844072938664</v>
      </c>
      <c r="AM459" t="str">
        <f t="shared" si="368"/>
        <v>1-0.781871730342484i</v>
      </c>
      <c r="AN459">
        <f t="shared" si="388"/>
        <v>1.2693791406466195</v>
      </c>
      <c r="AO459">
        <f t="shared" si="389"/>
        <v>-0.6635889598771596</v>
      </c>
      <c r="AP459" s="41" t="str">
        <f t="shared" si="390"/>
        <v>1.20383188101738-1.29967804431413i</v>
      </c>
      <c r="AQ459">
        <f t="shared" si="391"/>
        <v>4.9670472718143674</v>
      </c>
      <c r="AR459" s="43">
        <f t="shared" si="392"/>
        <v>-47.192481804143185</v>
      </c>
      <c r="AS459" t="str">
        <f t="shared" si="369"/>
        <v>-0.0000166666666666667</v>
      </c>
      <c r="AT459" t="str">
        <f t="shared" si="370"/>
        <v>0.00549109282541611i</v>
      </c>
      <c r="AU459">
        <f t="shared" si="393"/>
        <v>5.49109282541611E-3</v>
      </c>
      <c r="AV459">
        <f t="shared" si="394"/>
        <v>1.5707963267948966</v>
      </c>
      <c r="AW459" t="str">
        <f t="shared" si="371"/>
        <v>1+5.4863427451173i</v>
      </c>
      <c r="AX459">
        <f t="shared" si="395"/>
        <v>5.5767335167552368</v>
      </c>
      <c r="AY459">
        <f t="shared" si="396"/>
        <v>1.3905047418590084</v>
      </c>
      <c r="AZ459" t="str">
        <f t="shared" si="372"/>
        <v>1+186.535653333988i</v>
      </c>
      <c r="BA459">
        <f t="shared" si="397"/>
        <v>186.53833376745314</v>
      </c>
      <c r="BB459">
        <f t="shared" si="398"/>
        <v>1.565435472703343</v>
      </c>
      <c r="BC459" s="41" t="str">
        <f t="shared" si="399"/>
        <v>-0.0176696137057532+0.0999767754886694i</v>
      </c>
      <c r="BD459">
        <f t="shared" si="400"/>
        <v>-19.868436698539117</v>
      </c>
      <c r="BE459" s="43">
        <f t="shared" si="401"/>
        <v>100.02279258451937</v>
      </c>
      <c r="BF459" s="41" t="str">
        <f t="shared" si="402"/>
        <v>0.0279862614539506-0.0355993131748881i</v>
      </c>
      <c r="BG459" s="20">
        <f t="shared" si="403"/>
        <v>-26.881313459991848</v>
      </c>
      <c r="BH459" s="43">
        <f t="shared" si="404"/>
        <v>-51.827479025188623</v>
      </c>
      <c r="BI459" s="41" t="str">
        <f t="shared" si="409"/>
        <v>0.108666375739699+0.143320038679457i</v>
      </c>
      <c r="BJ459" s="20">
        <f t="shared" si="405"/>
        <v>-14.901389426724744</v>
      </c>
      <c r="BK459" s="43">
        <f t="shared" si="410"/>
        <v>52.830310780376358</v>
      </c>
      <c r="BL459">
        <f t="shared" si="406"/>
        <v>-26.881313459991848</v>
      </c>
      <c r="BM459" s="43">
        <f t="shared" si="407"/>
        <v>-51.827479025188623</v>
      </c>
    </row>
    <row r="460" spans="14:65" x14ac:dyDescent="0.25">
      <c r="N460" s="9">
        <v>42</v>
      </c>
      <c r="O460" s="34">
        <f t="shared" si="408"/>
        <v>263026.79918953858</v>
      </c>
      <c r="P460" s="33" t="str">
        <f t="shared" si="360"/>
        <v>19.6196196196196</v>
      </c>
      <c r="Q460" s="4" t="str">
        <f t="shared" si="361"/>
        <v>1+400.034656179015i</v>
      </c>
      <c r="R460" s="4">
        <f t="shared" si="373"/>
        <v>400.03590606877117</v>
      </c>
      <c r="S460" s="4">
        <f t="shared" si="374"/>
        <v>1.5682965485842109</v>
      </c>
      <c r="T460" s="4" t="str">
        <f t="shared" si="362"/>
        <v>1+6.21394941143379i</v>
      </c>
      <c r="U460" s="4">
        <f t="shared" si="375"/>
        <v>6.2938992117651793</v>
      </c>
      <c r="V460" s="4">
        <f t="shared" si="376"/>
        <v>1.4112361166360985</v>
      </c>
      <c r="W460" t="str">
        <f t="shared" si="363"/>
        <v>1-3.61516338763602i</v>
      </c>
      <c r="X460" s="4">
        <f t="shared" si="377"/>
        <v>3.7509207295414742</v>
      </c>
      <c r="Y460" s="4">
        <f t="shared" si="378"/>
        <v>-1.3009314477215206</v>
      </c>
      <c r="Z460" t="str">
        <f t="shared" si="364"/>
        <v>0.930816902908107+2.41994610437676i</v>
      </c>
      <c r="AA460" s="4">
        <f t="shared" si="379"/>
        <v>2.5927898593653316</v>
      </c>
      <c r="AB460" s="4">
        <f t="shared" si="380"/>
        <v>1.2035978700854917</v>
      </c>
      <c r="AC460" s="47" t="str">
        <f t="shared" si="381"/>
        <v>-0.396097806113117-0.206214275173501i</v>
      </c>
      <c r="AD460" s="20">
        <f t="shared" si="382"/>
        <v>-7.0023608078002466</v>
      </c>
      <c r="AE460" s="43">
        <f t="shared" si="383"/>
        <v>-152.49785945624964</v>
      </c>
      <c r="AF460" t="str">
        <f t="shared" si="365"/>
        <v>72.2956529813786</v>
      </c>
      <c r="AG460" t="str">
        <f t="shared" si="366"/>
        <v>1+326.232344100274i</v>
      </c>
      <c r="AH460">
        <f t="shared" si="384"/>
        <v>326.23387674666714</v>
      </c>
      <c r="AI460">
        <f t="shared" si="385"/>
        <v>1.5677310364088246</v>
      </c>
      <c r="AJ460" t="str">
        <f t="shared" si="367"/>
        <v>1+6.21394941143379i</v>
      </c>
      <c r="AK460">
        <f t="shared" si="386"/>
        <v>6.2938992117651793</v>
      </c>
      <c r="AL460">
        <f t="shared" si="387"/>
        <v>1.4112361166360985</v>
      </c>
      <c r="AM460" t="str">
        <f t="shared" si="368"/>
        <v>1-0.80008386252189i</v>
      </c>
      <c r="AN460">
        <f t="shared" si="388"/>
        <v>1.2806772376629276</v>
      </c>
      <c r="AO460">
        <f t="shared" si="389"/>
        <v>-0.67479207581578637</v>
      </c>
      <c r="AP460" s="41" t="str">
        <f t="shared" si="390"/>
        <v>1.20380040023006-1.31968138392426i</v>
      </c>
      <c r="AQ460">
        <f t="shared" si="391"/>
        <v>5.0388520447545107</v>
      </c>
      <c r="AR460" s="43">
        <f t="shared" si="392"/>
        <v>-47.629236411332073</v>
      </c>
      <c r="AS460" t="str">
        <f t="shared" si="369"/>
        <v>-0.0000166666666666667</v>
      </c>
      <c r="AT460" t="str">
        <f t="shared" si="370"/>
        <v>0.00561899680821143i</v>
      </c>
      <c r="AU460">
        <f t="shared" si="393"/>
        <v>5.6189968082114303E-3</v>
      </c>
      <c r="AV460">
        <f t="shared" si="394"/>
        <v>1.5707963267948966</v>
      </c>
      <c r="AW460" t="str">
        <f t="shared" si="371"/>
        <v>1+5.61413608432888i</v>
      </c>
      <c r="AX460">
        <f t="shared" si="395"/>
        <v>5.7025015539992276</v>
      </c>
      <c r="AY460">
        <f t="shared" si="396"/>
        <v>1.3945232428758976</v>
      </c>
      <c r="AZ460" t="str">
        <f t="shared" si="372"/>
        <v>1+190.880626867182i</v>
      </c>
      <c r="BA460">
        <f t="shared" si="397"/>
        <v>190.88324628737945</v>
      </c>
      <c r="BB460">
        <f t="shared" si="398"/>
        <v>1.5655574983817961</v>
      </c>
      <c r="BC460" s="41" t="str">
        <f t="shared" si="399"/>
        <v>-0.0168988057976865+0.0978383239273064i</v>
      </c>
      <c r="BD460">
        <f t="shared" si="400"/>
        <v>-20.06215271586742</v>
      </c>
      <c r="BE460" s="43">
        <f t="shared" si="401"/>
        <v>99.799540992650094</v>
      </c>
      <c r="BF460" s="41" t="str">
        <f t="shared" si="402"/>
        <v>0.0268692389552549-0.0352687704725229i</v>
      </c>
      <c r="BG460" s="20">
        <f t="shared" si="403"/>
        <v>-27.064513523667664</v>
      </c>
      <c r="BH460" s="43">
        <f t="shared" si="404"/>
        <v>-52.698318463599584</v>
      </c>
      <c r="BI460" s="41" t="str">
        <f t="shared" si="409"/>
        <v>0.108772625538553+0.140078852923288i</v>
      </c>
      <c r="BJ460" s="20">
        <f t="shared" si="405"/>
        <v>-15.023300671112896</v>
      </c>
      <c r="BK460" s="43">
        <f t="shared" si="410"/>
        <v>52.170304581317964</v>
      </c>
      <c r="BL460">
        <f t="shared" si="406"/>
        <v>-27.064513523667664</v>
      </c>
      <c r="BM460" s="43">
        <f t="shared" si="407"/>
        <v>-52.698318463599584</v>
      </c>
    </row>
    <row r="461" spans="14:65" x14ac:dyDescent="0.25">
      <c r="N461" s="9">
        <v>43</v>
      </c>
      <c r="O461" s="34">
        <f t="shared" si="408"/>
        <v>269153.48039269145</v>
      </c>
      <c r="P461" s="33" t="str">
        <f t="shared" si="360"/>
        <v>19.6196196196196</v>
      </c>
      <c r="Q461" s="4" t="str">
        <f t="shared" si="361"/>
        <v>1+409.352660337428i</v>
      </c>
      <c r="R461" s="4">
        <f t="shared" si="373"/>
        <v>409.35388177630574</v>
      </c>
      <c r="S461" s="4">
        <f t="shared" si="374"/>
        <v>1.5683534502542638</v>
      </c>
      <c r="T461" s="4" t="str">
        <f t="shared" si="362"/>
        <v>1+6.35869088710733i</v>
      </c>
      <c r="U461" s="4">
        <f t="shared" si="375"/>
        <v>6.4368431546668745</v>
      </c>
      <c r="V461" s="4">
        <f t="shared" si="376"/>
        <v>1.41480885496419</v>
      </c>
      <c r="W461" t="str">
        <f t="shared" si="363"/>
        <v>1-3.6993713605179i</v>
      </c>
      <c r="X461" s="4">
        <f t="shared" si="377"/>
        <v>3.8321467173139467</v>
      </c>
      <c r="Y461" s="4">
        <f t="shared" si="378"/>
        <v>-1.3067898026903508</v>
      </c>
      <c r="Z461" t="str">
        <f t="shared" si="364"/>
        <v>0.927556403992501+2.47631389030586i</v>
      </c>
      <c r="AA461" s="4">
        <f t="shared" si="379"/>
        <v>2.644331931870362</v>
      </c>
      <c r="AB461" s="4">
        <f t="shared" si="380"/>
        <v>1.2124014530457621</v>
      </c>
      <c r="AC461" s="47" t="str">
        <f t="shared" si="381"/>
        <v>-0.398838623552996-0.202023151770155i</v>
      </c>
      <c r="AD461" s="20">
        <f t="shared" si="382"/>
        <v>-6.9921848861914579</v>
      </c>
      <c r="AE461" s="43">
        <f t="shared" si="383"/>
        <v>-153.13648401710697</v>
      </c>
      <c r="AF461" t="str">
        <f t="shared" si="365"/>
        <v>72.2956529813786</v>
      </c>
      <c r="AG461" t="str">
        <f t="shared" si="366"/>
        <v>1+333.831271573135i</v>
      </c>
      <c r="AH461">
        <f t="shared" si="384"/>
        <v>333.83276933239517</v>
      </c>
      <c r="AI461">
        <f t="shared" si="385"/>
        <v>1.567800810514332</v>
      </c>
      <c r="AJ461" t="str">
        <f t="shared" si="367"/>
        <v>1+6.35869088710733i</v>
      </c>
      <c r="AK461">
        <f t="shared" si="386"/>
        <v>6.4368431546668745</v>
      </c>
      <c r="AL461">
        <f t="shared" si="387"/>
        <v>1.41480885496419</v>
      </c>
      <c r="AM461" t="str">
        <f t="shared" si="368"/>
        <v>1-0.81872020975557i</v>
      </c>
      <c r="AN461">
        <f t="shared" si="388"/>
        <v>1.2924019428421658</v>
      </c>
      <c r="AO461">
        <f t="shared" si="389"/>
        <v>-0.68605192770383283</v>
      </c>
      <c r="AP461" s="41" t="str">
        <f t="shared" si="390"/>
        <v>1.20377033628553-1.3403844273837i</v>
      </c>
      <c r="AQ461">
        <f t="shared" si="391"/>
        <v>5.1130749716795592</v>
      </c>
      <c r="AR461" s="43">
        <f t="shared" si="392"/>
        <v>-48.073673336720049</v>
      </c>
      <c r="AS461" t="str">
        <f t="shared" si="369"/>
        <v>-0.0000166666666666667</v>
      </c>
      <c r="AT461" t="str">
        <f t="shared" si="370"/>
        <v>0.00574988005749067i</v>
      </c>
      <c r="AU461">
        <f t="shared" si="393"/>
        <v>5.74988005749067E-3</v>
      </c>
      <c r="AV461">
        <f t="shared" si="394"/>
        <v>1.5707963267948966</v>
      </c>
      <c r="AW461" t="str">
        <f t="shared" si="371"/>
        <v>1+5.74490611280427i</v>
      </c>
      <c r="AX461">
        <f t="shared" si="395"/>
        <v>5.8312902727386042</v>
      </c>
      <c r="AY461">
        <f t="shared" si="396"/>
        <v>1.3984558382583854</v>
      </c>
      <c r="AZ461" t="str">
        <f t="shared" si="372"/>
        <v>1+195.326807835345i</v>
      </c>
      <c r="BA461">
        <f t="shared" si="397"/>
        <v>195.32936763104979</v>
      </c>
      <c r="BB461">
        <f t="shared" si="398"/>
        <v>1.5656767465674497</v>
      </c>
      <c r="BC461" s="41" t="str">
        <f t="shared" si="399"/>
        <v>-0.0161606014047599+0.0957397489852097i</v>
      </c>
      <c r="BD461">
        <f t="shared" si="400"/>
        <v>-20.256143043957138</v>
      </c>
      <c r="BE461" s="43">
        <f t="shared" si="401"/>
        <v>99.581052292453521</v>
      </c>
      <c r="BF461" s="41" t="str">
        <f t="shared" si="402"/>
        <v>0.0257871178597386-0.0349198940742796i</v>
      </c>
      <c r="BG461" s="20">
        <f t="shared" si="403"/>
        <v>-27.248327930148598</v>
      </c>
      <c r="BH461" s="43">
        <f t="shared" si="404"/>
        <v>-53.555431724653452</v>
      </c>
      <c r="BI461" s="41" t="str">
        <f t="shared" si="409"/>
        <v>0.108874416033815+0.136910088291913i</v>
      </c>
      <c r="BJ461" s="20">
        <f t="shared" si="405"/>
        <v>-15.143068072277606</v>
      </c>
      <c r="BK461" s="43">
        <f t="shared" si="410"/>
        <v>51.507378955733458</v>
      </c>
      <c r="BL461">
        <f t="shared" si="406"/>
        <v>-27.248327930148598</v>
      </c>
      <c r="BM461" s="43">
        <f t="shared" si="407"/>
        <v>-53.555431724653452</v>
      </c>
    </row>
    <row r="462" spans="14:65" x14ac:dyDescent="0.25">
      <c r="N462" s="9">
        <v>44</v>
      </c>
      <c r="O462" s="34">
        <f t="shared" si="408"/>
        <v>275422.87033381703</v>
      </c>
      <c r="P462" s="33" t="str">
        <f t="shared" si="360"/>
        <v>19.6196196196196</v>
      </c>
      <c r="Q462" s="4" t="str">
        <f t="shared" si="361"/>
        <v>1+418.887708694775i</v>
      </c>
      <c r="R462" s="4">
        <f t="shared" si="373"/>
        <v>418.88890233038961</v>
      </c>
      <c r="S462" s="4">
        <f t="shared" si="374"/>
        <v>1.5684090566994597</v>
      </c>
      <c r="T462" s="4" t="str">
        <f t="shared" si="362"/>
        <v>1+6.50680382485643i</v>
      </c>
      <c r="U462" s="4">
        <f t="shared" si="375"/>
        <v>6.583198008199834</v>
      </c>
      <c r="V462" s="4">
        <f t="shared" si="376"/>
        <v>1.41830415157242</v>
      </c>
      <c r="W462" t="str">
        <f t="shared" si="363"/>
        <v>1-3.78554078906209i</v>
      </c>
      <c r="X462" s="4">
        <f t="shared" si="377"/>
        <v>3.91539513531557</v>
      </c>
      <c r="Y462" s="4">
        <f t="shared" si="378"/>
        <v>-1.3125327902448616</v>
      </c>
      <c r="Z462" t="str">
        <f t="shared" si="364"/>
        <v>0.924142242497081+2.53399465063748i</v>
      </c>
      <c r="AA462" s="4">
        <f t="shared" si="379"/>
        <v>2.697251892913767</v>
      </c>
      <c r="AB462" s="4">
        <f t="shared" si="380"/>
        <v>1.2210881810445255</v>
      </c>
      <c r="AC462" s="47" t="str">
        <f t="shared" si="381"/>
        <v>-0.401489293514895-0.197851798459805i</v>
      </c>
      <c r="AD462" s="20">
        <f t="shared" si="382"/>
        <v>-6.982345266207707</v>
      </c>
      <c r="AE462" s="43">
        <f t="shared" si="383"/>
        <v>-153.76616608870916</v>
      </c>
      <c r="AF462" t="str">
        <f t="shared" si="365"/>
        <v>72.2956529813786</v>
      </c>
      <c r="AG462" t="str">
        <f t="shared" si="366"/>
        <v>1+341.607200804963i</v>
      </c>
      <c r="AH462">
        <f t="shared" si="384"/>
        <v>341.60866447120793</v>
      </c>
      <c r="AI462">
        <f t="shared" si="385"/>
        <v>1.5678689963954762</v>
      </c>
      <c r="AJ462" t="str">
        <f t="shared" si="367"/>
        <v>1+6.50680382485643i</v>
      </c>
      <c r="AK462">
        <f t="shared" si="386"/>
        <v>6.583198008199834</v>
      </c>
      <c r="AL462">
        <f t="shared" si="387"/>
        <v>1.41830415157242</v>
      </c>
      <c r="AM462" t="str">
        <f t="shared" si="368"/>
        <v>1-0.837790653281506i</v>
      </c>
      <c r="AN462">
        <f t="shared" si="388"/>
        <v>1.3045662799282576</v>
      </c>
      <c r="AO462">
        <f t="shared" si="389"/>
        <v>-0.69736306576754059</v>
      </c>
      <c r="AP462" s="41" t="str">
        <f t="shared" si="390"/>
        <v>1.20374162541767-1.36179815230007i</v>
      </c>
      <c r="AQ462">
        <f t="shared" si="391"/>
        <v>5.1897274780904841</v>
      </c>
      <c r="AR462" s="43">
        <f t="shared" si="392"/>
        <v>-48.525394828674287</v>
      </c>
      <c r="AS462" t="str">
        <f t="shared" si="369"/>
        <v>-0.0000166666666666667</v>
      </c>
      <c r="AT462" t="str">
        <f t="shared" si="370"/>
        <v>0.00588381196928507i</v>
      </c>
      <c r="AU462">
        <f t="shared" si="393"/>
        <v>5.8838119692850698E-3</v>
      </c>
      <c r="AV462">
        <f t="shared" si="394"/>
        <v>1.5707963267948966</v>
      </c>
      <c r="AW462" t="str">
        <f t="shared" si="371"/>
        <v>1+5.87872216654349i</v>
      </c>
      <c r="AX462">
        <f t="shared" si="395"/>
        <v>5.9631681438149791</v>
      </c>
      <c r="AY462">
        <f t="shared" si="396"/>
        <v>1.4023041263283864</v>
      </c>
      <c r="AZ462" t="str">
        <f t="shared" si="372"/>
        <v>1+199.876553662478i</v>
      </c>
      <c r="BA462">
        <f t="shared" si="397"/>
        <v>199.87905519085646</v>
      </c>
      <c r="BB462">
        <f t="shared" si="398"/>
        <v>1.5657932804736963</v>
      </c>
      <c r="BC462" s="41" t="str">
        <f t="shared" si="399"/>
        <v>-0.0154537089612672+0.093680692168308i</v>
      </c>
      <c r="BD462">
        <f t="shared" si="400"/>
        <v>-20.450396064466801</v>
      </c>
      <c r="BE462" s="43">
        <f t="shared" si="401"/>
        <v>99.367238528689995</v>
      </c>
      <c r="BF462" s="41" t="str">
        <f t="shared" si="402"/>
        <v>0.0247393921195031-0.0345542508037792i</v>
      </c>
      <c r="BG462" s="20">
        <f t="shared" si="403"/>
        <v>-27.432741330674503</v>
      </c>
      <c r="BH462" s="43">
        <f t="shared" si="404"/>
        <v>-54.398927560019125</v>
      </c>
      <c r="BI462" s="41" t="str">
        <f t="shared" si="409"/>
        <v>0.108971920757226+0.133812180970568i</v>
      </c>
      <c r="BJ462" s="20">
        <f t="shared" si="405"/>
        <v>-15.260668586376324</v>
      </c>
      <c r="BK462" s="43">
        <f t="shared" si="410"/>
        <v>50.841843700015701</v>
      </c>
      <c r="BL462">
        <f t="shared" si="406"/>
        <v>-27.432741330674503</v>
      </c>
      <c r="BM462" s="43">
        <f t="shared" si="407"/>
        <v>-54.398927560019125</v>
      </c>
    </row>
    <row r="463" spans="14:65" x14ac:dyDescent="0.25">
      <c r="N463" s="9">
        <v>45</v>
      </c>
      <c r="O463" s="34">
        <f t="shared" si="408"/>
        <v>281838.29312644573</v>
      </c>
      <c r="P463" s="33" t="str">
        <f t="shared" si="360"/>
        <v>19.6196196196196</v>
      </c>
      <c r="Q463" s="4" t="str">
        <f t="shared" si="361"/>
        <v>1+428.644856859905i</v>
      </c>
      <c r="R463" s="4">
        <f t="shared" si="373"/>
        <v>428.64602332513073</v>
      </c>
      <c r="S463" s="4">
        <f t="shared" si="374"/>
        <v>1.5684633974016957</v>
      </c>
      <c r="T463" s="4" t="str">
        <f t="shared" si="362"/>
        <v>1+6.65836675612119i</v>
      </c>
      <c r="U463" s="4">
        <f t="shared" si="375"/>
        <v>6.7330415013587892</v>
      </c>
      <c r="V463" s="4">
        <f t="shared" si="376"/>
        <v>1.4217235179188812</v>
      </c>
      <c r="W463" t="str">
        <f t="shared" si="363"/>
        <v>1-3.8737173614402i</v>
      </c>
      <c r="X463" s="4">
        <f t="shared" si="377"/>
        <v>4.0007107114015659</v>
      </c>
      <c r="Y463" s="4">
        <f t="shared" si="378"/>
        <v>-1.3181619394551904</v>
      </c>
      <c r="Z463" t="str">
        <f t="shared" si="364"/>
        <v>0.920567176527572+2.59301896847425i</v>
      </c>
      <c r="AA463" s="4">
        <f t="shared" si="379"/>
        <v>2.7515797821192121</v>
      </c>
      <c r="AB463" s="4">
        <f t="shared" si="380"/>
        <v>1.2296585638134425</v>
      </c>
      <c r="AC463" s="47" t="str">
        <f t="shared" si="381"/>
        <v>-0.404051345700673-0.193702243008948i</v>
      </c>
      <c r="AD463" s="20">
        <f t="shared" si="382"/>
        <v>-6.9728377040506881</v>
      </c>
      <c r="AE463" s="43">
        <f t="shared" si="383"/>
        <v>-154.38693757481366</v>
      </c>
      <c r="AF463" t="str">
        <f t="shared" si="365"/>
        <v>72.2956529813786</v>
      </c>
      <c r="AG463" t="str">
        <f t="shared" si="366"/>
        <v>1+349.564254696363i</v>
      </c>
      <c r="AH463">
        <f t="shared" si="384"/>
        <v>349.56568504563444</v>
      </c>
      <c r="AI463">
        <f t="shared" si="385"/>
        <v>1.5679356302027767</v>
      </c>
      <c r="AJ463" t="str">
        <f t="shared" si="367"/>
        <v>1+6.65836675612119i</v>
      </c>
      <c r="AK463">
        <f t="shared" si="386"/>
        <v>6.7330415013587892</v>
      </c>
      <c r="AL463">
        <f t="shared" si="387"/>
        <v>1.4217235179188812</v>
      </c>
      <c r="AM463" t="str">
        <f t="shared" si="368"/>
        <v>1-0.85730530450128i</v>
      </c>
      <c r="AN463">
        <f t="shared" si="388"/>
        <v>1.3171835047274287</v>
      </c>
      <c r="AO463">
        <f t="shared" si="389"/>
        <v>-0.70871991073547014</v>
      </c>
      <c r="AP463" s="41" t="str">
        <f t="shared" si="390"/>
        <v>1.20371420673007-1.38393391305494i</v>
      </c>
      <c r="AQ463">
        <f t="shared" si="391"/>
        <v>5.2688193133918375</v>
      </c>
      <c r="AR463" s="43">
        <f t="shared" si="392"/>
        <v>-48.983996689591031</v>
      </c>
      <c r="AS463" t="str">
        <f t="shared" si="369"/>
        <v>-0.0000166666666666667</v>
      </c>
      <c r="AT463" t="str">
        <f t="shared" si="370"/>
        <v>0.00602086355606703i</v>
      </c>
      <c r="AU463">
        <f t="shared" si="393"/>
        <v>6.0208635560670297E-3</v>
      </c>
      <c r="AV463">
        <f t="shared" si="394"/>
        <v>1.5707963267948966</v>
      </c>
      <c r="AW463" t="str">
        <f t="shared" si="371"/>
        <v>1+6.01565519658948i</v>
      </c>
      <c r="AX463">
        <f t="shared" si="395"/>
        <v>6.0982052641948687</v>
      </c>
      <c r="AY463">
        <f t="shared" si="396"/>
        <v>1.4060696913467632</v>
      </c>
      <c r="AZ463" t="str">
        <f t="shared" si="372"/>
        <v>1+204.532276684042i</v>
      </c>
      <c r="BA463">
        <f t="shared" si="397"/>
        <v>204.53472127137121</v>
      </c>
      <c r="BB463">
        <f t="shared" si="398"/>
        <v>1.5659071618756883</v>
      </c>
      <c r="BC463" s="41" t="str">
        <f t="shared" si="399"/>
        <v>-0.0147768805464769+0.0916607704434875i</v>
      </c>
      <c r="BD463">
        <f t="shared" si="400"/>
        <v>-20.644900620643515</v>
      </c>
      <c r="BE463" s="43">
        <f t="shared" si="401"/>
        <v>99.158012469354091</v>
      </c>
      <c r="BF463" s="41" t="str">
        <f t="shared" si="402"/>
        <v>0.0237255153008939-0.0341733427391237i</v>
      </c>
      <c r="BG463" s="20">
        <f t="shared" si="403"/>
        <v>-27.617738324694212</v>
      </c>
      <c r="BH463" s="43">
        <f t="shared" si="404"/>
        <v>-55.228925105459545</v>
      </c>
      <c r="BI463" s="41" t="str">
        <f t="shared" si="409"/>
        <v>0.109065307668539+0.130783597700081i</v>
      </c>
      <c r="BJ463" s="20">
        <f t="shared" si="405"/>
        <v>-15.376081307251663</v>
      </c>
      <c r="BK463" s="43">
        <f t="shared" si="410"/>
        <v>50.174015779763046</v>
      </c>
      <c r="BL463">
        <f t="shared" si="406"/>
        <v>-27.617738324694212</v>
      </c>
      <c r="BM463" s="43">
        <f t="shared" si="407"/>
        <v>-55.228925105459545</v>
      </c>
    </row>
    <row r="464" spans="14:65" x14ac:dyDescent="0.25">
      <c r="N464" s="9">
        <v>46</v>
      </c>
      <c r="O464" s="34">
        <f t="shared" si="408"/>
        <v>288403.1503126609</v>
      </c>
      <c r="P464" s="33" t="str">
        <f t="shared" si="360"/>
        <v>19.6196196196196</v>
      </c>
      <c r="Q464" s="4" t="str">
        <f t="shared" si="361"/>
        <v>1+438.629278201928i</v>
      </c>
      <c r="R464" s="4">
        <f t="shared" si="373"/>
        <v>438.63041811523323</v>
      </c>
      <c r="S464" s="4">
        <f t="shared" si="374"/>
        <v>1.5685165011718472</v>
      </c>
      <c r="T464" s="4" t="str">
        <f t="shared" si="362"/>
        <v>1+6.81346004157396i</v>
      </c>
      <c r="U464" s="4">
        <f t="shared" si="375"/>
        <v>6.8864532045258988</v>
      </c>
      <c r="V464" s="4">
        <f t="shared" si="376"/>
        <v>1.4250684469961772</v>
      </c>
      <c r="W464" t="str">
        <f t="shared" si="363"/>
        <v>1-3.96394783003805i</v>
      </c>
      <c r="X464" s="4">
        <f t="shared" si="377"/>
        <v>4.0881392343293985</v>
      </c>
      <c r="Y464" s="4">
        <f t="shared" si="378"/>
        <v>-1.3236788073959569</v>
      </c>
      <c r="Z464" t="str">
        <f t="shared" si="364"/>
        <v>0.916823622889733+2.65341813929077i</v>
      </c>
      <c r="AA464" s="4">
        <f t="shared" si="379"/>
        <v>2.8073463230257047</v>
      </c>
      <c r="AB464" s="4">
        <f t="shared" si="380"/>
        <v>1.2381132490702964</v>
      </c>
      <c r="AC464" s="47" t="str">
        <f t="shared" si="381"/>
        <v>-0.406526386102033-0.189576379435709i</v>
      </c>
      <c r="AD464" s="20">
        <f t="shared" si="382"/>
        <v>-6.9636575048671867</v>
      </c>
      <c r="AE464" s="43">
        <f t="shared" si="383"/>
        <v>-154.99884090928603</v>
      </c>
      <c r="AF464" t="str">
        <f t="shared" si="365"/>
        <v>72.2956529813786</v>
      </c>
      <c r="AG464" t="str">
        <f t="shared" si="366"/>
        <v>1+357.706652182633i</v>
      </c>
      <c r="AH464">
        <f t="shared" si="384"/>
        <v>357.70804997330873</v>
      </c>
      <c r="AI464">
        <f t="shared" si="385"/>
        <v>1.5680007472639916</v>
      </c>
      <c r="AJ464" t="str">
        <f t="shared" si="367"/>
        <v>1+6.81346004157396i</v>
      </c>
      <c r="AK464">
        <f t="shared" si="386"/>
        <v>6.8864532045258988</v>
      </c>
      <c r="AL464">
        <f t="shared" si="387"/>
        <v>1.4250684469961772</v>
      </c>
      <c r="AM464" t="str">
        <f t="shared" si="368"/>
        <v>1-0.877274510341278i</v>
      </c>
      <c r="AN464">
        <f t="shared" si="388"/>
        <v>1.3302671034399556</v>
      </c>
      <c r="AO464">
        <f t="shared" si="389"/>
        <v>-0.72011676672476099</v>
      </c>
      <c r="AP464" s="41" t="str">
        <f t="shared" si="390"/>
        <v>1.20368802206696-1.40680344682675i</v>
      </c>
      <c r="AQ464">
        <f t="shared" si="391"/>
        <v>5.3503584600762801</v>
      </c>
      <c r="AR464" s="43">
        <f t="shared" si="392"/>
        <v>-49.449069051377812</v>
      </c>
      <c r="AS464" t="str">
        <f t="shared" si="369"/>
        <v>-0.0000166666666666667</v>
      </c>
      <c r="AT464" t="str">
        <f t="shared" si="370"/>
        <v>0.00616110748440198i</v>
      </c>
      <c r="AU464">
        <f t="shared" si="393"/>
        <v>6.1611074844019802E-3</v>
      </c>
      <c r="AV464">
        <f t="shared" si="394"/>
        <v>1.5707963267948966</v>
      </c>
      <c r="AW464" t="str">
        <f t="shared" si="371"/>
        <v>1+6.15577780664732i</v>
      </c>
      <c r="AX464">
        <f t="shared" si="395"/>
        <v>6.2364733948612088</v>
      </c>
      <c r="AY464">
        <f t="shared" si="396"/>
        <v>1.4097541025008156</v>
      </c>
      <c r="AZ464" t="str">
        <f t="shared" si="372"/>
        <v>1+209.296445426009i</v>
      </c>
      <c r="BA464">
        <f t="shared" si="397"/>
        <v>209.29883436837952</v>
      </c>
      <c r="BB464">
        <f t="shared" si="398"/>
        <v>1.56601845114303</v>
      </c>
      <c r="BC464" s="41" t="str">
        <f t="shared" si="399"/>
        <v>-0.0141289110736404+0.0896795785771327i</v>
      </c>
      <c r="BD464">
        <f t="shared" si="400"/>
        <v>-20.839646001607711</v>
      </c>
      <c r="BE464" s="43">
        <f t="shared" si="401"/>
        <v>98.953287665559714</v>
      </c>
      <c r="BF464" s="41" t="str">
        <f t="shared" si="402"/>
        <v>0.022744904974297-0.0337786071794052i</v>
      </c>
      <c r="BG464" s="20">
        <f t="shared" si="403"/>
        <v>-27.803303506474904</v>
      </c>
      <c r="BH464" s="43">
        <f t="shared" si="404"/>
        <v>-56.045553243726332</v>
      </c>
      <c r="BI464" s="41" t="str">
        <f t="shared" si="409"/>
        <v>0.10915473922809+0.127822835355613i</v>
      </c>
      <c r="BJ464" s="20">
        <f t="shared" si="405"/>
        <v>-15.489287541531461</v>
      </c>
      <c r="BK464" s="43">
        <f t="shared" si="410"/>
        <v>49.504218614181951</v>
      </c>
      <c r="BL464">
        <f t="shared" si="406"/>
        <v>-27.803303506474904</v>
      </c>
      <c r="BM464" s="43">
        <f t="shared" si="407"/>
        <v>-56.045553243726332</v>
      </c>
    </row>
    <row r="465" spans="14:65" x14ac:dyDescent="0.25">
      <c r="N465" s="9">
        <v>47</v>
      </c>
      <c r="O465" s="34">
        <f t="shared" si="408"/>
        <v>295120.92266663886</v>
      </c>
      <c r="P465" s="33" t="str">
        <f t="shared" si="360"/>
        <v>19.6196196196196</v>
      </c>
      <c r="Q465" s="4" t="str">
        <f t="shared" si="361"/>
        <v>1+448.846266593197i</v>
      </c>
      <c r="R465" s="4">
        <f t="shared" si="373"/>
        <v>448.8473805589727</v>
      </c>
      <c r="S465" s="4">
        <f t="shared" si="374"/>
        <v>1.568568396165037</v>
      </c>
      <c r="T465" s="4" t="str">
        <f t="shared" si="362"/>
        <v>1+6.97216591372756i</v>
      </c>
      <c r="U465" s="4">
        <f t="shared" si="375"/>
        <v>7.0435145721823034</v>
      </c>
      <c r="V465" s="4">
        <f t="shared" si="376"/>
        <v>1.428340412775474</v>
      </c>
      <c r="W465" t="str">
        <f t="shared" si="363"/>
        <v>1-4.05628003624443i</v>
      </c>
      <c r="X465" s="4">
        <f t="shared" si="377"/>
        <v>4.1777275799691767</v>
      </c>
      <c r="Y465" s="4">
        <f t="shared" si="378"/>
        <v>-1.3290849753327039</v>
      </c>
      <c r="Z465" t="str">
        <f t="shared" si="364"/>
        <v>0.912903641004392+2.71522418752688i</v>
      </c>
      <c r="AA465" s="4">
        <f t="shared" si="379"/>
        <v>2.8645829445645452</v>
      </c>
      <c r="AB465" s="4">
        <f t="shared" si="380"/>
        <v>1.2464530158403302</v>
      </c>
      <c r="AC465" s="47" t="str">
        <f t="shared" si="381"/>
        <v>-0.408916086894763-0.185475968294958i</v>
      </c>
      <c r="AD465" s="20">
        <f t="shared" si="382"/>
        <v>-6.9547995814496826</v>
      </c>
      <c r="AE465" s="43">
        <f t="shared" si="383"/>
        <v>-155.60192848766974</v>
      </c>
      <c r="AF465" t="str">
        <f t="shared" si="365"/>
        <v>72.2956529813786</v>
      </c>
      <c r="AG465" t="str">
        <f t="shared" si="366"/>
        <v>1+366.038710470697i</v>
      </c>
      <c r="AH465">
        <f t="shared" si="384"/>
        <v>366.04007644389259</v>
      </c>
      <c r="AI465">
        <f t="shared" si="385"/>
        <v>1.5680643821028386</v>
      </c>
      <c r="AJ465" t="str">
        <f t="shared" si="367"/>
        <v>1+6.97216591372756i</v>
      </c>
      <c r="AK465">
        <f t="shared" si="386"/>
        <v>7.0435145721823034</v>
      </c>
      <c r="AL465">
        <f t="shared" si="387"/>
        <v>1.428340412775474</v>
      </c>
      <c r="AM465" t="str">
        <f t="shared" si="368"/>
        <v>1-0.897708858738759i</v>
      </c>
      <c r="AN465">
        <f t="shared" si="388"/>
        <v>1.343830791081245</v>
      </c>
      <c r="AO465">
        <f t="shared" si="389"/>
        <v>-0.73154783483978036</v>
      </c>
      <c r="AP465" s="41" t="str">
        <f t="shared" si="390"/>
        <v>1.2036630158898-1.4304188798164i</v>
      </c>
      <c r="AQ465">
        <f t="shared" si="391"/>
        <v>5.4343510510520678</v>
      </c>
      <c r="AR465" s="43">
        <f t="shared" si="392"/>
        <v>-49.920197187526249</v>
      </c>
      <c r="AS465" t="str">
        <f t="shared" si="369"/>
        <v>-0.0000166666666666667</v>
      </c>
      <c r="AT465" t="str">
        <f t="shared" si="370"/>
        <v>0.00630461811347705i</v>
      </c>
      <c r="AU465">
        <f t="shared" si="393"/>
        <v>6.3046181134770504E-3</v>
      </c>
      <c r="AV465">
        <f t="shared" si="394"/>
        <v>1.5707963267948966</v>
      </c>
      <c r="AW465" t="str">
        <f t="shared" si="371"/>
        <v>1+6.29916429157959i</v>
      </c>
      <c r="AX465">
        <f t="shared" si="395"/>
        <v>6.3780459995449545</v>
      </c>
      <c r="AY465">
        <f t="shared" si="396"/>
        <v>1.4133589129877377</v>
      </c>
      <c r="AZ465" t="str">
        <f t="shared" si="372"/>
        <v>1+214.171585913706i</v>
      </c>
      <c r="BA465">
        <f t="shared" si="397"/>
        <v>214.17392047770883</v>
      </c>
      <c r="BB465">
        <f t="shared" si="398"/>
        <v>1.5661272072717309</v>
      </c>
      <c r="BC465" s="41" t="str">
        <f t="shared" si="399"/>
        <v>-0.0135086374286689+0.0877366913414764i</v>
      </c>
      <c r="BD465">
        <f t="shared" si="400"/>
        <v>-21.034621926940673</v>
      </c>
      <c r="BE465" s="43">
        <f t="shared" si="401"/>
        <v>98.752978505885338</v>
      </c>
      <c r="BF465" s="41" t="str">
        <f t="shared" si="402"/>
        <v>0.0217969469381676-0.0333714168930223i</v>
      </c>
      <c r="BG465" s="20">
        <f t="shared" si="403"/>
        <v>-27.989421508390357</v>
      </c>
      <c r="BH465" s="43">
        <f t="shared" si="404"/>
        <v>-56.848949981784457</v>
      </c>
      <c r="BI465" s="41" t="str">
        <f t="shared" si="409"/>
        <v>0.109240372479518+0.124928420522836i</v>
      </c>
      <c r="BJ465" s="20">
        <f t="shared" si="405"/>
        <v>-15.600270875888642</v>
      </c>
      <c r="BK465" s="43">
        <f t="shared" si="410"/>
        <v>48.83278131835911</v>
      </c>
      <c r="BL465">
        <f t="shared" si="406"/>
        <v>-27.989421508390357</v>
      </c>
      <c r="BM465" s="43">
        <f t="shared" si="407"/>
        <v>-56.848949981784457</v>
      </c>
    </row>
    <row r="466" spans="14:65" x14ac:dyDescent="0.25">
      <c r="N466" s="9">
        <v>48</v>
      </c>
      <c r="O466" s="34">
        <f t="shared" si="408"/>
        <v>301995.17204020242</v>
      </c>
      <c r="P466" s="33" t="str">
        <f t="shared" si="360"/>
        <v>19.6196196196196</v>
      </c>
      <c r="Q466" s="4" t="str">
        <f t="shared" si="361"/>
        <v>1+459.301239216198i</v>
      </c>
      <c r="R466" s="4">
        <f t="shared" si="373"/>
        <v>459.30232782507767</v>
      </c>
      <c r="S466" s="4">
        <f t="shared" si="374"/>
        <v>1.5686191098955586</v>
      </c>
      <c r="T466" s="4" t="str">
        <f t="shared" si="362"/>
        <v>1+7.13456852053615i</v>
      </c>
      <c r="U466" s="4">
        <f t="shared" si="375"/>
        <v>7.2043089865874981</v>
      </c>
      <c r="V466" s="4">
        <f t="shared" si="376"/>
        <v>1.4315408697193133</v>
      </c>
      <c r="W466" t="str">
        <f t="shared" si="363"/>
        <v>1-4.15076293581725i</v>
      </c>
      <c r="X466" s="4">
        <f t="shared" si="377"/>
        <v>4.2695237380010234</v>
      </c>
      <c r="Y466" s="4">
        <f t="shared" si="378"/>
        <v>-1.3343820451124013</v>
      </c>
      <c r="Z466" t="str">
        <f t="shared" si="364"/>
        <v>0.908798916064409+2.77846988356746i</v>
      </c>
      <c r="AA466" s="4">
        <f t="shared" si="379"/>
        <v>2.9233218029719583</v>
      </c>
      <c r="AB466" s="4">
        <f t="shared" si="380"/>
        <v>1.254678767827307</v>
      </c>
      <c r="AC466" s="47" t="str">
        <f t="shared" si="381"/>
        <v>-0.411222176768471-0.181402637570181i</v>
      </c>
      <c r="AD466" s="20">
        <f t="shared" si="382"/>
        <v>-6.9462585093546902</v>
      </c>
      <c r="AE466" s="43">
        <f t="shared" si="383"/>
        <v>-156.19626210933473</v>
      </c>
      <c r="AF466" t="str">
        <f t="shared" si="365"/>
        <v>72.2956529813786</v>
      </c>
      <c r="AG466" t="str">
        <f t="shared" si="366"/>
        <v>1+374.564847328148i</v>
      </c>
      <c r="AH466">
        <f t="shared" si="384"/>
        <v>374.56618220810969</v>
      </c>
      <c r="AI466">
        <f t="shared" si="385"/>
        <v>1.5681265684572891</v>
      </c>
      <c r="AJ466" t="str">
        <f t="shared" si="367"/>
        <v>1+7.13456852053615i</v>
      </c>
      <c r="AK466">
        <f t="shared" si="386"/>
        <v>7.2043089865874981</v>
      </c>
      <c r="AL466">
        <f t="shared" si="387"/>
        <v>1.4315408697193133</v>
      </c>
      <c r="AM466" t="str">
        <f t="shared" si="368"/>
        <v>1-0.918619184255726i</v>
      </c>
      <c r="AN466">
        <f t="shared" si="388"/>
        <v>1.35788851003411</v>
      </c>
      <c r="AO466">
        <f t="shared" si="389"/>
        <v>-0.74300722740867231</v>
      </c>
      <c r="AP466" s="41" t="str">
        <f t="shared" si="390"/>
        <v>1.2036391351596-1.45479273367895i</v>
      </c>
      <c r="AQ466">
        <f t="shared" si="391"/>
        <v>5.5208012957052883</v>
      </c>
      <c r="AR466" s="43">
        <f t="shared" si="392"/>
        <v>-50.396962357765169</v>
      </c>
      <c r="AS466" t="str">
        <f t="shared" si="369"/>
        <v>-0.0000166666666666667</v>
      </c>
      <c r="AT466" t="str">
        <f t="shared" si="370"/>
        <v>0.00645147153452738i</v>
      </c>
      <c r="AU466">
        <f t="shared" si="393"/>
        <v>6.4514715345273801E-3</v>
      </c>
      <c r="AV466">
        <f t="shared" si="394"/>
        <v>1.5707963267948966</v>
      </c>
      <c r="AW466" t="str">
        <f t="shared" si="371"/>
        <v>1+6.44589067679856i</v>
      </c>
      <c r="AX466">
        <f t="shared" si="395"/>
        <v>6.5229982843197645</v>
      </c>
      <c r="AY466">
        <f t="shared" si="396"/>
        <v>1.4168856591885881</v>
      </c>
      <c r="AZ466" t="str">
        <f t="shared" si="372"/>
        <v>1+219.160283011151i</v>
      </c>
      <c r="BA466">
        <f t="shared" si="397"/>
        <v>219.16256443454893</v>
      </c>
      <c r="BB466">
        <f t="shared" si="398"/>
        <v>1.5662334879154332</v>
      </c>
      <c r="BC466" s="41" t="str">
        <f t="shared" si="399"/>
        <v>-0.0129149375666475+0.0858316655932452i</v>
      </c>
      <c r="BD466">
        <f t="shared" si="400"/>
        <v>-21.22981853159289</v>
      </c>
      <c r="BE466" s="43">
        <f t="shared" si="401"/>
        <v>98.557000265490913</v>
      </c>
      <c r="BF466" s="41" t="str">
        <f t="shared" si="402"/>
        <v>0.0208809992646421-0.0329530806222737i</v>
      </c>
      <c r="BG466" s="20">
        <f t="shared" si="403"/>
        <v>-28.176077040947586</v>
      </c>
      <c r="BH466" s="43">
        <f t="shared" si="404"/>
        <v>-57.639261843843848</v>
      </c>
      <c r="BI466" s="41" t="str">
        <f t="shared" si="409"/>
        <v>0.109322359141255+0.122098909071838i</v>
      </c>
      <c r="BJ466" s="20">
        <f t="shared" si="405"/>
        <v>-15.709017235887588</v>
      </c>
      <c r="BK466" s="43">
        <f t="shared" si="410"/>
        <v>48.160037907725759</v>
      </c>
      <c r="BL466">
        <f t="shared" si="406"/>
        <v>-28.176077040947586</v>
      </c>
      <c r="BM466" s="43">
        <f t="shared" si="407"/>
        <v>-57.639261843843848</v>
      </c>
    </row>
    <row r="467" spans="14:65" x14ac:dyDescent="0.25">
      <c r="N467" s="9">
        <v>49</v>
      </c>
      <c r="O467" s="34">
        <f t="shared" si="408"/>
        <v>309029.54325135931</v>
      </c>
      <c r="P467" s="33" t="str">
        <f t="shared" ref="P467:P530" si="411">COMPLEX(Adc,0)</f>
        <v>19.6196196196196</v>
      </c>
      <c r="Q467" s="4" t="str">
        <f t="shared" ref="Q467:Q530" si="412">IMSUM(COMPLEX(1,0),IMDIV(COMPLEX(0,2*PI()*O467),COMPLEX(wp_lf,0)))</f>
        <v>1+469.999739435801i</v>
      </c>
      <c r="R467" s="4">
        <f t="shared" si="373"/>
        <v>470.00080326497408</v>
      </c>
      <c r="S467" s="4">
        <f t="shared" si="374"/>
        <v>1.5686686692514595</v>
      </c>
      <c r="T467" s="4" t="str">
        <f t="shared" ref="T467:T530" si="413">IMSUM(COMPLEX(1,0),IMDIV(COMPLEX(0,2*PI()*O467),COMPLEX(wz_esr,0)))</f>
        <v>1+7.3007539700115i</v>
      </c>
      <c r="U467" s="4">
        <f t="shared" si="375"/>
        <v>7.3689218024510668</v>
      </c>
      <c r="V467" s="4">
        <f t="shared" si="376"/>
        <v>1.4346712523587917</v>
      </c>
      <c r="W467" t="str">
        <f t="shared" ref="W467:W530" si="414">IMSUB(COMPLEX(1,0),IMDIV(COMPLEX(0,2*PI()*O467),COMPLEX(wz_rhp,0)))</f>
        <v>1-4.24744662484048i</v>
      </c>
      <c r="X467" s="4">
        <f t="shared" si="377"/>
        <v>4.3635768391159093</v>
      </c>
      <c r="Y467" s="4">
        <f t="shared" si="378"/>
        <v>-1.3395716357537457</v>
      </c>
      <c r="Z467" t="str">
        <f t="shared" ref="Z467:Z530" si="415">IMSUM(COMPLEX(1,0),IMDIV(COMPLEX(0,2*PI()*O467),COMPLEX(Q*(wsl/2),0)),IMDIV(IMPOWER(COMPLEX(0,2*PI()*O467),2),IMPOWER(COMPLEX(wsl/2,0),2)))</f>
        <v>0.904500741397856+2.8431887611177i</v>
      </c>
      <c r="AA467" s="4">
        <f t="shared" si="379"/>
        <v>2.9835958041489588</v>
      </c>
      <c r="AB467" s="4">
        <f t="shared" si="380"/>
        <v>1.2627915268616985</v>
      </c>
      <c r="AC467" s="47" t="str">
        <f t="shared" si="381"/>
        <v>-0.413446431713837-0.177357884112015i</v>
      </c>
      <c r="AD467" s="20">
        <f t="shared" si="382"/>
        <v>-6.938028578505687</v>
      </c>
      <c r="AE467" s="43">
        <f t="shared" si="383"/>
        <v>-156.78191243178702</v>
      </c>
      <c r="AF467" t="str">
        <f t="shared" ref="AF467:AF530" si="416">COMPLEX($B$72,0)</f>
        <v>72.2956529813786</v>
      </c>
      <c r="AG467" t="str">
        <f t="shared" ref="AG467:AG530" si="417">IMSUM(COMPLEX(1,0),IMDIV(COMPLEX(0,2*PI()*O467),COMPLEX(wp_lf_DCM,0)))</f>
        <v>1+383.289583425604i</v>
      </c>
      <c r="AH467">
        <f t="shared" si="384"/>
        <v>383.2908879200927</v>
      </c>
      <c r="AI467">
        <f t="shared" si="385"/>
        <v>1.5681873392974461</v>
      </c>
      <c r="AJ467" t="str">
        <f t="shared" ref="AJ467:AJ530" si="418">IMSUM(COMPLEX(1,0),IMDIV(COMPLEX(0,2*PI()*O467),COMPLEX(wz1_dcm,0)))</f>
        <v>1+7.3007539700115i</v>
      </c>
      <c r="AK467">
        <f t="shared" si="386"/>
        <v>7.3689218024510668</v>
      </c>
      <c r="AL467">
        <f t="shared" si="387"/>
        <v>1.4346712523587917</v>
      </c>
      <c r="AM467" t="str">
        <f t="shared" ref="AM467:AM530" si="419">IMSUB(COMPLEX(1,0),IMDIV(COMPLEX(0,2*PI()*O467),COMPLEX(wz2_dcm,0)))</f>
        <v>1-0.940016573823546i</v>
      </c>
      <c r="AN467">
        <f t="shared" si="388"/>
        <v>1.3724544287745799</v>
      </c>
      <c r="AO467">
        <f t="shared" si="389"/>
        <v>-0.75448898277604048</v>
      </c>
      <c r="AP467" s="41" t="str">
        <f t="shared" si="390"/>
        <v>1.20361632922433-1.47993793216489i</v>
      </c>
      <c r="AQ467">
        <f t="shared" si="391"/>
        <v>5.609711415220672</v>
      </c>
      <c r="AR467" s="43">
        <f t="shared" si="392"/>
        <v>-50.878942680872306</v>
      </c>
      <c r="AS467" t="str">
        <f t="shared" ref="AS467:AS530" si="420">COMPLEX(Adc_ea,0)</f>
        <v>-0.0000166666666666667</v>
      </c>
      <c r="AT467" t="str">
        <f t="shared" ref="AT467:AT530" si="421">COMPLEX(0,2*PI()*O467*wp0_ea)</f>
        <v>0.00660174561118062i</v>
      </c>
      <c r="AU467">
        <f t="shared" si="393"/>
        <v>6.60174561118062E-3</v>
      </c>
      <c r="AV467">
        <f t="shared" si="394"/>
        <v>1.5707963267948966</v>
      </c>
      <c r="AW467" t="str">
        <f t="shared" ref="AW467:AW530" si="422">IMSUM(COMPLEX(1,0),IMDIV(COMPLEX(0,2*PI()*O467),COMPLEX(wp1_ea,0)))</f>
        <v>1+6.59603475857581i</v>
      </c>
      <c r="AX467">
        <f t="shared" si="395"/>
        <v>6.6714072380825495</v>
      </c>
      <c r="AY467">
        <f t="shared" si="396"/>
        <v>1.4203358599274947</v>
      </c>
      <c r="AZ467" t="str">
        <f t="shared" ref="AZ467:AZ530" si="423">IMSUM(COMPLEX(1,0),IMDIV(COMPLEX(0,2*PI()*O467),COMPLEX(wz_ea,0)))</f>
        <v>1+224.265181791577i</v>
      </c>
      <c r="BA467">
        <f t="shared" si="397"/>
        <v>224.26741128396043</v>
      </c>
      <c r="BB467">
        <f t="shared" si="398"/>
        <v>1.5663373494159316</v>
      </c>
      <c r="BC467" s="41" t="str">
        <f t="shared" si="399"/>
        <v>-0.012346729573674+0.0839640422292352i</v>
      </c>
      <c r="BD467">
        <f t="shared" si="400"/>
        <v>-21.425226351126867</v>
      </c>
      <c r="BE467" s="43">
        <f t="shared" si="401"/>
        <v>98.365269150311107</v>
      </c>
      <c r="BF467" s="41" t="str">
        <f t="shared" si="402"/>
        <v>0.0199963961568402-0.0325248438190572i</v>
      </c>
      <c r="BG467" s="20">
        <f t="shared" si="403"/>
        <v>-28.36325492963255</v>
      </c>
      <c r="BH467" s="43">
        <f t="shared" si="404"/>
        <v>-58.416643281475999</v>
      </c>
      <c r="BI467" s="41" t="str">
        <f t="shared" si="409"/>
        <v>0.109400845705549+0.119332885729051i</v>
      </c>
      <c r="BJ467" s="20">
        <f t="shared" si="405"/>
        <v>-15.815514935906185</v>
      </c>
      <c r="BK467" s="43">
        <f t="shared" si="410"/>
        <v>47.486326469438787</v>
      </c>
      <c r="BL467">
        <f t="shared" si="406"/>
        <v>-28.36325492963255</v>
      </c>
      <c r="BM467" s="43">
        <f t="shared" si="407"/>
        <v>-58.416643281475999</v>
      </c>
    </row>
    <row r="468" spans="14:65" x14ac:dyDescent="0.25">
      <c r="N468" s="9">
        <v>50</v>
      </c>
      <c r="O468" s="34">
        <f t="shared" si="408"/>
        <v>316227.7660168382</v>
      </c>
      <c r="P468" s="33" t="str">
        <f t="shared" si="411"/>
        <v>19.6196196196196</v>
      </c>
      <c r="Q468" s="4" t="str">
        <f t="shared" si="412"/>
        <v>1+480.947439738435i</v>
      </c>
      <c r="R468" s="4">
        <f t="shared" ref="R468:R531" si="424">IMABS(Q468)</f>
        <v>480.94847935195247</v>
      </c>
      <c r="S468" s="4">
        <f t="shared" ref="S468:S531" si="425">IMARGUMENT(Q468)</f>
        <v>1.5687171005087919</v>
      </c>
      <c r="T468" s="4" t="str">
        <f t="shared" si="413"/>
        <v>1+7.47081037587866i</v>
      </c>
      <c r="U468" s="4">
        <f t="shared" ref="U468:U531" si="426">IMABS(T468)</f>
        <v>7.537440392622436</v>
      </c>
      <c r="V468" s="4">
        <f t="shared" ref="V468:V531" si="427">IMARGUMENT(T468)</f>
        <v>1.437732974930914</v>
      </c>
      <c r="W468" t="str">
        <f t="shared" si="414"/>
        <v>1-4.3463823662858i</v>
      </c>
      <c r="X468" s="4">
        <f t="shared" ref="X468:X531" si="428">IMABS(W468)</f>
        <v>4.4599371827370122</v>
      </c>
      <c r="Y468" s="4">
        <f t="shared" ref="Y468:Y531" si="429">IMARGUMENT(W468)</f>
        <v>-1.3446553802324521</v>
      </c>
      <c r="Z468" t="str">
        <f t="shared" si="415"/>
        <v>0.9+2.90941513498314i</v>
      </c>
      <c r="AA468" s="4">
        <f t="shared" ref="AA468:AA531" si="430">IMABS(Z468)</f>
        <v>3.0454386264820643</v>
      </c>
      <c r="AB468" s="4">
        <f t="shared" ref="AB468:AB531" si="431">IMARGUMENT(Z468)</f>
        <v>1.270792426450593</v>
      </c>
      <c r="AC468" s="47" t="str">
        <f t="shared" ref="AC468:AC531" si="432">(IMDIV(IMPRODUCT(P468,T468,W468),IMPRODUCT(Q468,Z468)))</f>
        <v>-0.41559066628342-0.173343075564904i</v>
      </c>
      <c r="AD468" s="20">
        <f t="shared" ref="AD468:AD531" si="433">20*LOG(IMABS(AC468))</f>
        <v>-6.9301038413636658</v>
      </c>
      <c r="AE468" s="43">
        <f t="shared" ref="AE468:AE531" si="434">(180/PI())*IMARGUMENT(AC468)</f>
        <v>-157.35895843851046</v>
      </c>
      <c r="AF468" t="str">
        <f t="shared" si="416"/>
        <v>72.2956529813786</v>
      </c>
      <c r="AG468" t="str">
        <f t="shared" si="417"/>
        <v>1+392.21754473363i</v>
      </c>
      <c r="AH468">
        <f t="shared" ref="AH468:AH531" si="435">IMABS(AG468)</f>
        <v>392.21881953429647</v>
      </c>
      <c r="AI468">
        <f t="shared" ref="AI468:AI531" si="436">IMARGUMENT(AG468)</f>
        <v>1.5682467268430174</v>
      </c>
      <c r="AJ468" t="str">
        <f t="shared" si="418"/>
        <v>1+7.47081037587866i</v>
      </c>
      <c r="AK468">
        <f t="shared" ref="AK468:AK531" si="437">IMABS(AJ468)</f>
        <v>7.537440392622436</v>
      </c>
      <c r="AL468">
        <f t="shared" ref="AL468:AL531" si="438">IMARGUMENT(AJ468)</f>
        <v>1.437732974930914</v>
      </c>
      <c r="AM468" t="str">
        <f t="shared" si="419"/>
        <v>1-0.961912372621398i</v>
      </c>
      <c r="AN468">
        <f t="shared" ref="AN468:AN531" si="439">IMABS(AM468)</f>
        <v>1.3875429408137707</v>
      </c>
      <c r="AO468">
        <f t="shared" ref="AO468:AO531" si="440">IMARGUMENT(AM468)</f>
        <v>-0.76598708056362419</v>
      </c>
      <c r="AP468" s="41" t="str">
        <f t="shared" ref="AP468:AP531" si="441">(IMDIV(IMPRODUCT(AF468,AJ468,AM468),IMPRODUCT(AG468)))</f>
        <v>1.20359454971157-1.50586780797445i</v>
      </c>
      <c r="AQ468">
        <f t="shared" ref="AQ468:AQ531" si="442">20*LOG(IMABS(AP468))</f>
        <v>5.701081587614004</v>
      </c>
      <c r="AR468" s="43">
        <f t="shared" ref="AR468:AR531" si="443">(180/PI())*IMARGUMENT(AP468)</f>
        <v>-51.365714030823952</v>
      </c>
      <c r="AS468" t="str">
        <f t="shared" si="420"/>
        <v>-0.0000166666666666667</v>
      </c>
      <c r="AT468" t="str">
        <f t="shared" si="421"/>
        <v>0.00675552002074135i</v>
      </c>
      <c r="AU468">
        <f t="shared" ref="AU468:AU531" si="444">IMABS(AT468)</f>
        <v>6.7555200207413497E-3</v>
      </c>
      <c r="AV468">
        <f t="shared" ref="AV468:AV531" si="445">IMARGUMENT(AT468)</f>
        <v>1.5707963267948966</v>
      </c>
      <c r="AW468" t="str">
        <f t="shared" si="422"/>
        <v>1+6.74967614529089i</v>
      </c>
      <c r="AX468">
        <f t="shared" ref="AX468:AX531" si="446">IMABS(AW468)</f>
        <v>6.8233516739435967</v>
      </c>
      <c r="AY468">
        <f t="shared" ref="AY468:AY531" si="447">IMARGUMENT(AW468)</f>
        <v>1.423711015811022</v>
      </c>
      <c r="AZ468" t="str">
        <f t="shared" si="423"/>
        <v>1+229.48898893989i</v>
      </c>
      <c r="BA468">
        <f t="shared" ref="BA468:BA531" si="448">IMABS(AZ468)</f>
        <v>229.49116768331834</v>
      </c>
      <c r="BB468">
        <f t="shared" ref="BB468:BB531" si="449">IMARGUMENT(AZ468)</f>
        <v>1.5664388468330002</v>
      </c>
      <c r="BC468" s="41" t="str">
        <f t="shared" ref="BC468:BC531" si="450">IMPRODUCT(AS468,IMDIV(AZ468,IMPRODUCT(AT468,AW468)))</f>
        <v>-0.0118029707008548+0.0821333480235428i</v>
      </c>
      <c r="BD468">
        <f t="shared" ref="BD468:BD531" si="451">20*LOG(IMABS(BC468))</f>
        <v>-21.620836307305332</v>
      </c>
      <c r="BE468" s="43">
        <f t="shared" ref="BE468:BE531" si="452">(180/PI())*IMARGUMENT(BC468)</f>
        <v>98.177702336615738</v>
      </c>
      <c r="BF468" s="41" t="str">
        <f t="shared" ref="BF468:BF531" si="453">IMPRODUCT(AC468,BC468)</f>
        <v>0.0191424516105355-0.0320878895871035i</v>
      </c>
      <c r="BG468" s="20">
        <f t="shared" ref="BG468:BG531" si="454">20*LOG(IMABS(BF468))</f>
        <v>-28.550940148669</v>
      </c>
      <c r="BH468" s="43">
        <f t="shared" ref="BH468:BH531" si="455">(180/PI())*IMARGUMENT(BF468)</f>
        <v>-59.181256101894625</v>
      </c>
      <c r="BI468" s="41" t="str">
        <f t="shared" si="409"/>
        <v>0.109475973543861+0.116628963647583i</v>
      </c>
      <c r="BJ468" s="20">
        <f t="shared" ref="BJ468:BJ531" si="456">20*LOG(IMABS(BI468))</f>
        <v>-15.919754719691301</v>
      </c>
      <c r="BK468" s="43">
        <f t="shared" si="410"/>
        <v>46.811988305791864</v>
      </c>
      <c r="BL468">
        <f t="shared" ref="BL468:BL531" si="457">IF($B$31=0,BJ468,BG468)</f>
        <v>-28.550940148669</v>
      </c>
      <c r="BM468" s="43">
        <f t="shared" ref="BM468:BM531" si="458">IF($B$31=0,BK468,BH468)</f>
        <v>-59.181256101894625</v>
      </c>
    </row>
    <row r="469" spans="14:65" x14ac:dyDescent="0.25">
      <c r="N469" s="9">
        <v>51</v>
      </c>
      <c r="O469" s="34">
        <f t="shared" si="408"/>
        <v>323593.65692962846</v>
      </c>
      <c r="P469" s="33" t="str">
        <f t="shared" si="411"/>
        <v>19.6196196196196</v>
      </c>
      <c r="Q469" s="4" t="str">
        <f t="shared" si="412"/>
        <v>1+492.150144739711i</v>
      </c>
      <c r="R469" s="4">
        <f t="shared" si="424"/>
        <v>492.15116068878518</v>
      </c>
      <c r="S469" s="4">
        <f t="shared" si="425"/>
        <v>1.5687644293455398</v>
      </c>
      <c r="T469" s="4" t="str">
        <f t="shared" si="413"/>
        <v>1+7.64482790429497i</v>
      </c>
      <c r="U469" s="4">
        <f t="shared" si="426"/>
        <v>7.7099541948241832</v>
      </c>
      <c r="V469" s="4">
        <f t="shared" si="427"/>
        <v>1.4407274310721221</v>
      </c>
      <c r="W469" t="str">
        <f t="shared" si="414"/>
        <v>1-4.44762261719289i</v>
      </c>
      <c r="X469" s="4">
        <f t="shared" si="428"/>
        <v>4.5586562652788079</v>
      </c>
      <c r="Y469" s="4">
        <f t="shared" si="429"/>
        <v>-1.3496349224562496</v>
      </c>
      <c r="Z469" t="str">
        <f t="shared" si="415"/>
        <v>0.89528714519491+2.97718411926381i</v>
      </c>
      <c r="AA469" s="4">
        <f t="shared" si="430"/>
        <v>3.1088847441402327</v>
      </c>
      <c r="AB469" s="4">
        <f t="shared" si="431"/>
        <v>1.2786827054511227</v>
      </c>
      <c r="AC469" s="47" t="str">
        <f t="shared" si="432"/>
        <v>-0.417656725336558-0.169359452725238i</v>
      </c>
      <c r="AD469" s="20">
        <f t="shared" si="433"/>
        <v>-6.9224781577628729</v>
      </c>
      <c r="AE469" s="43">
        <f t="shared" si="434"/>
        <v>-157.92748692151903</v>
      </c>
      <c r="AF469" t="str">
        <f t="shared" si="416"/>
        <v>72.2956529813786</v>
      </c>
      <c r="AG469" t="str">
        <f t="shared" si="417"/>
        <v>1+401.353464975486i</v>
      </c>
      <c r="AH469">
        <f t="shared" si="435"/>
        <v>401.35471075823773</v>
      </c>
      <c r="AI469">
        <f t="shared" si="436"/>
        <v>1.5683047625803885</v>
      </c>
      <c r="AJ469" t="str">
        <f t="shared" si="418"/>
        <v>1+7.64482790429497i</v>
      </c>
      <c r="AK469">
        <f t="shared" si="437"/>
        <v>7.7099541948241832</v>
      </c>
      <c r="AL469">
        <f t="shared" si="438"/>
        <v>1.4407274310721221</v>
      </c>
      <c r="AM469" t="str">
        <f t="shared" si="419"/>
        <v>1-0.984318190091629i</v>
      </c>
      <c r="AN469">
        <f t="shared" si="439"/>
        <v>1.4031686638979863</v>
      </c>
      <c r="AO469">
        <f t="shared" si="440"/>
        <v>-0.77749545730532099</v>
      </c>
      <c r="AP469" s="41" t="str">
        <f t="shared" si="441"/>
        <v>1.2035737504259-1.53259610982857i</v>
      </c>
      <c r="AQ469">
        <f t="shared" si="442"/>
        <v>5.7949099028480529</v>
      </c>
      <c r="AR469" s="43">
        <f t="shared" si="443"/>
        <v>-51.856850951153767</v>
      </c>
      <c r="AS469" t="str">
        <f t="shared" si="420"/>
        <v>-0.0000166666666666667</v>
      </c>
      <c r="AT469" t="str">
        <f t="shared" si="421"/>
        <v>0.00691287629643696i</v>
      </c>
      <c r="AU469">
        <f t="shared" si="444"/>
        <v>6.9128762964369601E-3</v>
      </c>
      <c r="AV469">
        <f t="shared" si="445"/>
        <v>1.5707963267948966</v>
      </c>
      <c r="AW469" t="str">
        <f t="shared" si="422"/>
        <v>1+6.90689629964073i</v>
      </c>
      <c r="AX469">
        <f t="shared" si="446"/>
        <v>6.978912271549973</v>
      </c>
      <c r="AY469">
        <f t="shared" si="447"/>
        <v>1.4270126086428283</v>
      </c>
      <c r="AZ469" t="str">
        <f t="shared" si="423"/>
        <v>1+234.834474187785i</v>
      </c>
      <c r="BA469">
        <f t="shared" si="448"/>
        <v>234.83660333741298</v>
      </c>
      <c r="BB469">
        <f t="shared" si="449"/>
        <v>1.5665380339735433</v>
      </c>
      <c r="BC469" s="41" t="str">
        <f t="shared" si="450"/>
        <v>-0.0112826563766755+0.0803390973512117i</v>
      </c>
      <c r="BD469">
        <f t="shared" si="451"/>
        <v>-21.816639694034826</v>
      </c>
      <c r="BE469" s="43">
        <f t="shared" si="452"/>
        <v>97.99421800621765</v>
      </c>
      <c r="BF469" s="41" t="str">
        <f t="shared" si="453"/>
        <v>0.0183184628752208-0.0316433398069613i</v>
      </c>
      <c r="BG469" s="20">
        <f t="shared" si="454"/>
        <v>-28.739117851797701</v>
      </c>
      <c r="BH469" s="43">
        <f t="shared" si="455"/>
        <v>-59.933268915301284</v>
      </c>
      <c r="BI469" s="41" t="str">
        <f t="shared" si="409"/>
        <v>0.109547879017564+0.113985783976255i</v>
      </c>
      <c r="BJ469" s="20">
        <f t="shared" si="456"/>
        <v>-16.021729791186758</v>
      </c>
      <c r="BK469" s="43">
        <f t="shared" si="410"/>
        <v>46.137367055063898</v>
      </c>
      <c r="BL469">
        <f t="shared" si="457"/>
        <v>-28.739117851797701</v>
      </c>
      <c r="BM469" s="43">
        <f t="shared" si="458"/>
        <v>-59.933268915301284</v>
      </c>
    </row>
    <row r="470" spans="14:65" x14ac:dyDescent="0.25">
      <c r="N470" s="9">
        <v>52</v>
      </c>
      <c r="O470" s="34">
        <f t="shared" si="408"/>
        <v>331131.12148259126</v>
      </c>
      <c r="P470" s="33" t="str">
        <f t="shared" si="411"/>
        <v>19.6196196196196</v>
      </c>
      <c r="Q470" s="4" t="str">
        <f t="shared" si="412"/>
        <v>1+503.613794262107i</v>
      </c>
      <c r="R470" s="4">
        <f t="shared" si="424"/>
        <v>503.61478708540307</v>
      </c>
      <c r="S470" s="4">
        <f t="shared" si="425"/>
        <v>1.5688106808552305</v>
      </c>
      <c r="T470" s="4" t="str">
        <f t="shared" si="413"/>
        <v>1+7.82289882165743i</v>
      </c>
      <c r="U470" s="4">
        <f t="shared" si="426"/>
        <v>7.8865547594554366</v>
      </c>
      <c r="V470" s="4">
        <f t="shared" si="427"/>
        <v>1.4436559935641942</v>
      </c>
      <c r="W470" t="str">
        <f t="shared" si="414"/>
        <v>1-4.55122105648289i</v>
      </c>
      <c r="X470" s="4">
        <f t="shared" si="428"/>
        <v>4.6597868089616759</v>
      </c>
      <c r="Y470" s="4">
        <f t="shared" si="429"/>
        <v>-1.354511914423933</v>
      </c>
      <c r="Z470" t="str">
        <f t="shared" si="415"/>
        <v>0.890352180385681+3.04653164597222i</v>
      </c>
      <c r="AA470" s="4">
        <f t="shared" si="430"/>
        <v>3.1739694508655467</v>
      </c>
      <c r="AB470" s="4">
        <f t="shared" si="431"/>
        <v>1.2864637018865583</v>
      </c>
      <c r="AC470" s="47" t="str">
        <f t="shared" si="432"/>
        <v>-0.419646476273778-0.165408132276627i</v>
      </c>
      <c r="AD470" s="20">
        <f t="shared" si="433"/>
        <v>-6.9151452365232613</v>
      </c>
      <c r="AE470" s="43">
        <f t="shared" si="434"/>
        <v>-158.48759197960865</v>
      </c>
      <c r="AF470" t="str">
        <f t="shared" si="416"/>
        <v>72.2956529813786</v>
      </c>
      <c r="AG470" t="str">
        <f t="shared" si="417"/>
        <v>1+410.702188137016i</v>
      </c>
      <c r="AH470">
        <f t="shared" si="435"/>
        <v>410.70340556237522</v>
      </c>
      <c r="AI470">
        <f t="shared" si="436"/>
        <v>1.5683614772793115</v>
      </c>
      <c r="AJ470" t="str">
        <f t="shared" si="418"/>
        <v>1+7.82289882165743i</v>
      </c>
      <c r="AK470">
        <f t="shared" si="437"/>
        <v>7.8865547594554366</v>
      </c>
      <c r="AL470">
        <f t="shared" si="438"/>
        <v>1.4436559935641942</v>
      </c>
      <c r="AM470" t="str">
        <f t="shared" si="419"/>
        <v>1-1.00724590609524i</v>
      </c>
      <c r="AN470">
        <f t="shared" si="439"/>
        <v>1.4193464395085582</v>
      </c>
      <c r="AO470">
        <f t="shared" si="440"/>
        <v>-0.78900802235853096</v>
      </c>
      <c r="AP470" s="41" t="str">
        <f t="shared" si="441"/>
        <v>1.20355388725092-1.56013700976039i</v>
      </c>
      <c r="AQ470">
        <f t="shared" si="442"/>
        <v>5.8911923283206837</v>
      </c>
      <c r="AR470" s="43">
        <f t="shared" si="443"/>
        <v>-52.351927582121263</v>
      </c>
      <c r="AS470" t="str">
        <f t="shared" si="420"/>
        <v>-0.0000166666666666667</v>
      </c>
      <c r="AT470" t="str">
        <f t="shared" si="421"/>
        <v>0.00707389787064768i</v>
      </c>
      <c r="AU470">
        <f t="shared" si="444"/>
        <v>7.0738978706476798E-3</v>
      </c>
      <c r="AV470">
        <f t="shared" si="445"/>
        <v>1.5707963267948966</v>
      </c>
      <c r="AW470" t="str">
        <f t="shared" si="422"/>
        <v>1+7.06777858183226i</v>
      </c>
      <c r="AX470">
        <f t="shared" si="446"/>
        <v>7.1381716203665802</v>
      </c>
      <c r="AY470">
        <f t="shared" si="447"/>
        <v>1.430242100908931</v>
      </c>
      <c r="AZ470" t="str">
        <f t="shared" si="423"/>
        <v>1+240.304471782296i</v>
      </c>
      <c r="BA470">
        <f t="shared" si="448"/>
        <v>240.30655246698601</v>
      </c>
      <c r="BB470">
        <f t="shared" si="449"/>
        <v>1.5666349634200851</v>
      </c>
      <c r="BC470" s="41" t="str">
        <f t="shared" si="450"/>
        <v>-0.01078481920339+0.0785807938030885i</v>
      </c>
      <c r="BD470">
        <f t="shared" si="451"/>
        <v>-22.012628163670605</v>
      </c>
      <c r="BE470" s="43">
        <f t="shared" si="452"/>
        <v>97.814735377597245</v>
      </c>
      <c r="BF470" s="41" t="str">
        <f t="shared" si="453"/>
        <v>0.017523713711736-0.0311922564208886i</v>
      </c>
      <c r="BG470" s="20">
        <f t="shared" si="454"/>
        <v>-28.92777340019386</v>
      </c>
      <c r="BH470" s="43">
        <f t="shared" si="455"/>
        <v>-60.672856602011443</v>
      </c>
      <c r="BI470" s="41" t="str">
        <f t="shared" si="409"/>
        <v>0.10961669359301+0.111402015427753i</v>
      </c>
      <c r="BJ470" s="20">
        <f t="shared" si="456"/>
        <v>-16.121435835349935</v>
      </c>
      <c r="BK470" s="43">
        <f t="shared" si="410"/>
        <v>45.46280779547584</v>
      </c>
      <c r="BL470">
        <f t="shared" si="457"/>
        <v>-28.92777340019386</v>
      </c>
      <c r="BM470" s="43">
        <f t="shared" si="458"/>
        <v>-60.672856602011443</v>
      </c>
    </row>
    <row r="471" spans="14:65" x14ac:dyDescent="0.25">
      <c r="N471" s="9">
        <v>53</v>
      </c>
      <c r="O471" s="34">
        <f t="shared" si="408"/>
        <v>338844.15613920329</v>
      </c>
      <c r="P471" s="33" t="str">
        <f t="shared" si="411"/>
        <v>19.6196196196196</v>
      </c>
      <c r="Q471" s="4" t="str">
        <f t="shared" si="412"/>
        <v>1+515.344466484336i</v>
      </c>
      <c r="R471" s="4">
        <f t="shared" si="424"/>
        <v>515.34543670825769</v>
      </c>
      <c r="S471" s="4">
        <f t="shared" si="425"/>
        <v>1.5688558795602348</v>
      </c>
      <c r="T471" s="4" t="str">
        <f t="shared" si="413"/>
        <v>1+8.00511754352343i</v>
      </c>
      <c r="U471" s="4">
        <f t="shared" si="426"/>
        <v>8.0673357984917526</v>
      </c>
      <c r="V471" s="4">
        <f t="shared" si="427"/>
        <v>1.4465200141288932</v>
      </c>
      <c r="W471" t="str">
        <f t="shared" si="414"/>
        <v>1-4.65723261341955i</v>
      </c>
      <c r="X471" s="4">
        <f t="shared" si="428"/>
        <v>4.763382791199831</v>
      </c>
      <c r="Y471" s="4">
        <f t="shared" si="429"/>
        <v>-1.3592880135625038</v>
      </c>
      <c r="Z471" t="str">
        <f t="shared" si="415"/>
        <v>0.885184637850311+3.11749448408492i</v>
      </c>
      <c r="AA471" s="4">
        <f t="shared" si="430"/>
        <v>3.2407288842768209</v>
      </c>
      <c r="AB471" s="4">
        <f t="shared" si="431"/>
        <v>1.2941368469216574</v>
      </c>
      <c r="AC471" s="47" t="str">
        <f t="shared" si="432"/>
        <v>-0.421561801761624-0.161490109850525i</v>
      </c>
      <c r="AD471" s="20">
        <f t="shared" si="433"/>
        <v>-6.9080986739615016</v>
      </c>
      <c r="AE471" s="43">
        <f t="shared" si="434"/>
        <v>-159.03937453312795</v>
      </c>
      <c r="AF471" t="str">
        <f t="shared" si="416"/>
        <v>72.2956529813786</v>
      </c>
      <c r="AG471" t="str">
        <f t="shared" si="417"/>
        <v>1+420.26867103498i</v>
      </c>
      <c r="AH471">
        <f t="shared" si="435"/>
        <v>420.26986074843421</v>
      </c>
      <c r="AI471">
        <f t="shared" si="436"/>
        <v>1.5684169010092099</v>
      </c>
      <c r="AJ471" t="str">
        <f t="shared" si="418"/>
        <v>1+8.00511754352343i</v>
      </c>
      <c r="AK471">
        <f t="shared" si="437"/>
        <v>8.0673357984917526</v>
      </c>
      <c r="AL471">
        <f t="shared" si="438"/>
        <v>1.4465200141288932</v>
      </c>
      <c r="AM471" t="str">
        <f t="shared" si="419"/>
        <v>1-1.03070767721074i</v>
      </c>
      <c r="AN471">
        <f t="shared" si="439"/>
        <v>1.4360913327017744</v>
      </c>
      <c r="AO471">
        <f t="shared" si="440"/>
        <v>-0.80051867399048249</v>
      </c>
      <c r="AP471" s="41" t="str">
        <f t="shared" si="441"/>
        <v>1.20353491805573-1.58850511063105i</v>
      </c>
      <c r="AQ471">
        <f t="shared" si="442"/>
        <v>5.9899226849240437</v>
      </c>
      <c r="AR471" s="43">
        <f t="shared" si="443"/>
        <v>-52.850518595089575</v>
      </c>
      <c r="AS471" t="str">
        <f t="shared" si="420"/>
        <v>-0.0000166666666666667</v>
      </c>
      <c r="AT471" t="str">
        <f t="shared" si="421"/>
        <v>0.00723867011914353i</v>
      </c>
      <c r="AU471">
        <f t="shared" si="444"/>
        <v>7.2386701191435301E-3</v>
      </c>
      <c r="AV471">
        <f t="shared" si="445"/>
        <v>1.5707963267948966</v>
      </c>
      <c r="AW471" t="str">
        <f t="shared" si="422"/>
        <v>1+7.23240829378096i</v>
      </c>
      <c r="AX471">
        <f t="shared" si="446"/>
        <v>7.3012142639393627</v>
      </c>
      <c r="AY471">
        <f t="shared" si="447"/>
        <v>1.4334009353291106</v>
      </c>
      <c r="AZ471" t="str">
        <f t="shared" si="423"/>
        <v>1+245.901881988552i</v>
      </c>
      <c r="BA471">
        <f t="shared" si="448"/>
        <v>245.9039153114723</v>
      </c>
      <c r="BB471">
        <f t="shared" si="449"/>
        <v>1.5667296865586111</v>
      </c>
      <c r="BC471" s="41" t="str">
        <f t="shared" si="450"/>
        <v>-0.0103085279425274+0.0768579316966508i</v>
      </c>
      <c r="BD471">
        <f t="shared" si="451"/>
        <v>-22.208793713688102</v>
      </c>
      <c r="BE471" s="43">
        <f t="shared" si="452"/>
        <v>97.639174733200079</v>
      </c>
      <c r="BF471" s="41" t="str">
        <f t="shared" si="453"/>
        <v>0.0167574774455382-0.030735642855876i</v>
      </c>
      <c r="BG471" s="20">
        <f t="shared" si="454"/>
        <v>-29.116892387649603</v>
      </c>
      <c r="BH471" s="43">
        <f t="shared" si="455"/>
        <v>-61.400199799927869</v>
      </c>
      <c r="BI471" s="41" t="str">
        <f t="shared" si="409"/>
        <v>0.109682543960077+0.108876353846249i</v>
      </c>
      <c r="BJ471" s="20">
        <f t="shared" si="456"/>
        <v>-16.218871028764074</v>
      </c>
      <c r="BK471" s="43">
        <f t="shared" si="410"/>
        <v>44.788656138110447</v>
      </c>
      <c r="BL471">
        <f t="shared" si="457"/>
        <v>-29.116892387649603</v>
      </c>
      <c r="BM471" s="43">
        <f t="shared" si="458"/>
        <v>-61.400199799927869</v>
      </c>
    </row>
    <row r="472" spans="14:65" x14ac:dyDescent="0.25">
      <c r="N472" s="9">
        <v>54</v>
      </c>
      <c r="O472" s="34">
        <f t="shared" si="408"/>
        <v>346736.85045253241</v>
      </c>
      <c r="P472" s="33" t="str">
        <f t="shared" si="411"/>
        <v>19.6196196196196</v>
      </c>
      <c r="Q472" s="4" t="str">
        <f t="shared" si="412"/>
        <v>1+527.348381164085i</v>
      </c>
      <c r="R472" s="4">
        <f t="shared" si="424"/>
        <v>527.34932930305422</v>
      </c>
      <c r="S472" s="4">
        <f t="shared" si="425"/>
        <v>1.5689000494247649</v>
      </c>
      <c r="T472" s="4" t="str">
        <f t="shared" si="413"/>
        <v>1+8.19158068467125i</v>
      </c>
      <c r="U472" s="4">
        <f t="shared" si="426"/>
        <v>8.2523932355092668</v>
      </c>
      <c r="V472" s="4">
        <f t="shared" si="427"/>
        <v>1.4493208232679391</v>
      </c>
      <c r="W472" t="str">
        <f t="shared" si="414"/>
        <v>1-4.76571349673361i</v>
      </c>
      <c r="X472" s="4">
        <f t="shared" si="428"/>
        <v>4.8694994745814366</v>
      </c>
      <c r="Y472" s="4">
        <f t="shared" si="429"/>
        <v>-1.363964880236229</v>
      </c>
      <c r="Z472" t="str">
        <f t="shared" si="415"/>
        <v>0.879773556538258+3.19011025903801i</v>
      </c>
      <c r="AA472" s="4">
        <f t="shared" si="430"/>
        <v>3.3092000507076533</v>
      </c>
      <c r="AB472" s="4">
        <f t="shared" si="431"/>
        <v>1.3017036590114655</v>
      </c>
      <c r="AC472" s="47" t="str">
        <f t="shared" si="432"/>
        <v>-0.423404592944845-0.157606263363269i</v>
      </c>
      <c r="AD472" s="20">
        <f t="shared" si="433"/>
        <v>-6.9013319894290355</v>
      </c>
      <c r="AE472" s="43">
        <f t="shared" si="434"/>
        <v>-159.58294185592266</v>
      </c>
      <c r="AF472" t="str">
        <f t="shared" si="416"/>
        <v>72.2956529813786</v>
      </c>
      <c r="AG472" t="str">
        <f t="shared" si="417"/>
        <v>1+430.057985945241i</v>
      </c>
      <c r="AH472">
        <f t="shared" si="435"/>
        <v>430.05914857758472</v>
      </c>
      <c r="AI472">
        <f t="shared" si="436"/>
        <v>1.5684710631551162</v>
      </c>
      <c r="AJ472" t="str">
        <f t="shared" si="418"/>
        <v>1+8.19158068467125i</v>
      </c>
      <c r="AK472">
        <f t="shared" si="437"/>
        <v>8.2523932355092668</v>
      </c>
      <c r="AL472">
        <f t="shared" si="438"/>
        <v>1.4493208232679391</v>
      </c>
      <c r="AM472" t="str">
        <f t="shared" si="419"/>
        <v>1-1.05471594317973i</v>
      </c>
      <c r="AN472">
        <f t="shared" si="439"/>
        <v>1.4534186323277636</v>
      </c>
      <c r="AO472">
        <f t="shared" si="440"/>
        <v>-0.81202131553612644</v>
      </c>
      <c r="AP472" s="41" t="str">
        <f t="shared" si="441"/>
        <v>1.20351680260551-1.61771545387376i</v>
      </c>
      <c r="AQ472">
        <f t="shared" si="442"/>
        <v>6.0910926337813995</v>
      </c>
      <c r="AR472" s="43">
        <f t="shared" si="443"/>
        <v>-53.352200128387459</v>
      </c>
      <c r="AS472" t="str">
        <f t="shared" si="420"/>
        <v>-0.0000166666666666667</v>
      </c>
      <c r="AT472" t="str">
        <f t="shared" si="421"/>
        <v>0.00740728040635166i</v>
      </c>
      <c r="AU472">
        <f t="shared" si="444"/>
        <v>7.4072804063516602E-3</v>
      </c>
      <c r="AV472">
        <f t="shared" si="445"/>
        <v>1.5707963267948966</v>
      </c>
      <c r="AW472" t="str">
        <f t="shared" si="422"/>
        <v>1+7.40087272433927i</v>
      </c>
      <c r="AX472">
        <f t="shared" si="446"/>
        <v>7.4681267451663533</v>
      </c>
      <c r="AY472">
        <f t="shared" si="447"/>
        <v>1.4364905344701813</v>
      </c>
      <c r="AZ472" t="str">
        <f t="shared" si="423"/>
        <v>1+251.629672627535i</v>
      </c>
      <c r="BA472">
        <f t="shared" si="448"/>
        <v>251.63165966674472</v>
      </c>
      <c r="BB472">
        <f t="shared" si="449"/>
        <v>1.5668222536057803</v>
      </c>
      <c r="BC472" s="41" t="str">
        <f t="shared" si="450"/>
        <v>-0.00985288649411406+0.0751699974875317i</v>
      </c>
      <c r="BD472">
        <f t="shared" si="451"/>
        <v>-22.405128673724455</v>
      </c>
      <c r="BE472" s="43">
        <f t="shared" si="452"/>
        <v>97.467457443154245</v>
      </c>
      <c r="BF472" s="41" t="str">
        <f t="shared" si="453"/>
        <v>0.0160190198164083-0.0302744455641936i</v>
      </c>
      <c r="BG472" s="20">
        <f t="shared" si="454"/>
        <v>-29.306460663153505</v>
      </c>
      <c r="BH472" s="43">
        <f t="shared" si="455"/>
        <v>-62.115484412768403</v>
      </c>
      <c r="BI472" s="41" t="str">
        <f t="shared" si="409"/>
        <v>0.109745552153401+0.106407521774851i</v>
      </c>
      <c r="BJ472" s="20">
        <f t="shared" si="456"/>
        <v>-16.31403603994303</v>
      </c>
      <c r="BK472" s="43">
        <f t="shared" si="410"/>
        <v>44.115257314766751</v>
      </c>
      <c r="BL472">
        <f t="shared" si="457"/>
        <v>-29.306460663153505</v>
      </c>
      <c r="BM472" s="43">
        <f t="shared" si="458"/>
        <v>-62.115484412768403</v>
      </c>
    </row>
    <row r="473" spans="14:65" x14ac:dyDescent="0.25">
      <c r="N473" s="9">
        <v>55</v>
      </c>
      <c r="O473" s="34">
        <f t="shared" si="408"/>
        <v>354813.38923357555</v>
      </c>
      <c r="P473" s="33" t="str">
        <f t="shared" si="411"/>
        <v>19.6196196196196</v>
      </c>
      <c r="Q473" s="4" t="str">
        <f t="shared" si="412"/>
        <v>1+539.631902935805i</v>
      </c>
      <c r="R473" s="4">
        <f t="shared" si="424"/>
        <v>539.6328294925338</v>
      </c>
      <c r="S473" s="4">
        <f t="shared" si="425"/>
        <v>1.5689432138675781</v>
      </c>
      <c r="T473" s="4" t="str">
        <f t="shared" si="413"/>
        <v>1+8.38238711032643i</v>
      </c>
      <c r="U473" s="4">
        <f t="shared" si="426"/>
        <v>8.4418252568604313</v>
      </c>
      <c r="V473" s="4">
        <f t="shared" si="427"/>
        <v>1.4520597301450391</v>
      </c>
      <c r="W473" t="str">
        <f t="shared" si="414"/>
        <v>1-4.87672122442529i</v>
      </c>
      <c r="X473" s="4">
        <f t="shared" si="428"/>
        <v>4.9781934374590247</v>
      </c>
      <c r="Y473" s="4">
        <f t="shared" si="429"/>
        <v>-1.3685441754212364</v>
      </c>
      <c r="Z473" t="str">
        <f t="shared" si="415"/>
        <v>0.874107458820584+3.26441747267652i</v>
      </c>
      <c r="AA473" s="4">
        <f t="shared" si="430"/>
        <v>3.3794208506017025</v>
      </c>
      <c r="AB473" s="4">
        <f t="shared" si="431"/>
        <v>1.3091657382354212</v>
      </c>
      <c r="AC473" s="47" t="str">
        <f t="shared" si="432"/>
        <v>-0.42517674313932-0.153757356583597i</v>
      </c>
      <c r="AD473" s="20">
        <f t="shared" si="433"/>
        <v>-6.8948386580123362</v>
      </c>
      <c r="AE473" s="43">
        <f t="shared" si="434"/>
        <v>-160.11840712495405</v>
      </c>
      <c r="AF473" t="str">
        <f t="shared" si="416"/>
        <v>72.2956529813786</v>
      </c>
      <c r="AG473" t="str">
        <f t="shared" si="417"/>
        <v>1+440.075323292138i</v>
      </c>
      <c r="AH473">
        <f t="shared" si="435"/>
        <v>440.07645945980778</v>
      </c>
      <c r="AI473">
        <f t="shared" si="436"/>
        <v>1.5685239924332453</v>
      </c>
      <c r="AJ473" t="str">
        <f t="shared" si="418"/>
        <v>1+8.38238711032643i</v>
      </c>
      <c r="AK473">
        <f t="shared" si="437"/>
        <v>8.4418252568604313</v>
      </c>
      <c r="AL473">
        <f t="shared" si="438"/>
        <v>1.4520597301450391</v>
      </c>
      <c r="AM473" t="str">
        <f t="shared" si="419"/>
        <v>1-1.07928343350259i</v>
      </c>
      <c r="AN473">
        <f t="shared" si="439"/>
        <v>1.4713438516652524</v>
      </c>
      <c r="AO473">
        <f t="shared" si="440"/>
        <v>-0.82350987152330268</v>
      </c>
      <c r="AP473" s="41" t="str">
        <f t="shared" si="441"/>
        <v>1.20349950247624-1.64778352747038i</v>
      </c>
      <c r="AQ473">
        <f t="shared" si="442"/>
        <v>6.1946916736763917</v>
      </c>
      <c r="AR473" s="43">
        <f t="shared" si="443"/>
        <v>-53.856550718864604</v>
      </c>
      <c r="AS473" t="str">
        <f t="shared" si="420"/>
        <v>-0.0000166666666666667</v>
      </c>
      <c r="AT473" t="str">
        <f t="shared" si="421"/>
        <v>0.00757981813167818i</v>
      </c>
      <c r="AU473">
        <f t="shared" si="444"/>
        <v>7.57981813167818E-3</v>
      </c>
      <c r="AV473">
        <f t="shared" si="445"/>
        <v>1.5707963267948966</v>
      </c>
      <c r="AW473" t="str">
        <f t="shared" si="422"/>
        <v>1+7.57326119557811i</v>
      </c>
      <c r="AX473">
        <f t="shared" si="446"/>
        <v>7.6389976526013665</v>
      </c>
      <c r="AY473">
        <f t="shared" si="447"/>
        <v>1.4395123004170416</v>
      </c>
      <c r="AZ473" t="str">
        <f t="shared" si="423"/>
        <v>1+257.490880649655i</v>
      </c>
      <c r="BA473">
        <f t="shared" si="448"/>
        <v>257.49282245867533</v>
      </c>
      <c r="BB473">
        <f t="shared" si="449"/>
        <v>1.5669127136355172</v>
      </c>
      <c r="BC473" s="41" t="str">
        <f t="shared" si="450"/>
        <v>-0.00941703287373567+0.0735164710864035i</v>
      </c>
      <c r="BD473">
        <f t="shared" si="451"/>
        <v>-22.601625692991302</v>
      </c>
      <c r="BE473" s="43">
        <f t="shared" si="452"/>
        <v>97.299505985641346</v>
      </c>
      <c r="BF473" s="41" t="str">
        <f t="shared" si="453"/>
        <v>0.0153076016268907-0.0298095556620866i</v>
      </c>
      <c r="BG473" s="20">
        <f t="shared" si="454"/>
        <v>-29.496464351003638</v>
      </c>
      <c r="BH473" s="43">
        <f t="shared" si="455"/>
        <v>-62.818901139312686</v>
      </c>
      <c r="BI473" s="41" t="str">
        <f t="shared" si="409"/>
        <v>0.109805835675585+0.103994268023284i</v>
      </c>
      <c r="BJ473" s="20">
        <f t="shared" si="456"/>
        <v>-16.406934019314914</v>
      </c>
      <c r="BK473" s="43">
        <f t="shared" si="410"/>
        <v>43.442955266776664</v>
      </c>
      <c r="BL473">
        <f t="shared" si="457"/>
        <v>-29.496464351003638</v>
      </c>
      <c r="BM473" s="43">
        <f t="shared" si="458"/>
        <v>-62.818901139312686</v>
      </c>
    </row>
    <row r="474" spans="14:65" x14ac:dyDescent="0.25">
      <c r="N474" s="9">
        <v>56</v>
      </c>
      <c r="O474" s="34">
        <f t="shared" si="408"/>
        <v>363078.05477010203</v>
      </c>
      <c r="P474" s="33" t="str">
        <f t="shared" si="411"/>
        <v>19.6196196196196</v>
      </c>
      <c r="Q474" s="4" t="str">
        <f t="shared" si="412"/>
        <v>1+552.20154468534i</v>
      </c>
      <c r="R474" s="4">
        <f t="shared" si="424"/>
        <v>552.20245015109765</v>
      </c>
      <c r="S474" s="4">
        <f t="shared" si="425"/>
        <v>1.5689853957743893</v>
      </c>
      <c r="T474" s="4" t="str">
        <f t="shared" si="413"/>
        <v>1+8.57763798858159i</v>
      </c>
      <c r="U474" s="4">
        <f t="shared" si="426"/>
        <v>8.6357323640301651</v>
      </c>
      <c r="V474" s="4">
        <f t="shared" si="427"/>
        <v>1.454738022506906</v>
      </c>
      <c r="W474" t="str">
        <f t="shared" si="414"/>
        <v>1-4.99031465426124i</v>
      </c>
      <c r="X474" s="4">
        <f t="shared" si="428"/>
        <v>5.089522605169809</v>
      </c>
      <c r="Y474" s="4">
        <f t="shared" si="429"/>
        <v>-1.3730275585391967</v>
      </c>
      <c r="Z474" t="str">
        <f t="shared" si="415"/>
        <v>0.868174326144359+3.34045552366874i</v>
      </c>
      <c r="AA474" s="4">
        <f t="shared" si="430"/>
        <v>3.4514301044907758</v>
      </c>
      <c r="AB474" s="4">
        <f t="shared" si="431"/>
        <v>1.3165247608265744</v>
      </c>
      <c r="AC474" s="47" t="str">
        <f t="shared" si="432"/>
        <v>-0.42688014199599-0.149944042887687i</v>
      </c>
      <c r="AD474" s="20">
        <f t="shared" si="433"/>
        <v>-6.8886121405363685</v>
      </c>
      <c r="AE474" s="43">
        <f t="shared" si="434"/>
        <v>-160.64588898796296</v>
      </c>
      <c r="AF474" t="str">
        <f t="shared" si="416"/>
        <v>72.2956529813786</v>
      </c>
      <c r="AG474" t="str">
        <f t="shared" si="417"/>
        <v>1+450.325994400534i</v>
      </c>
      <c r="AH474">
        <f t="shared" si="435"/>
        <v>450.32710470593457</v>
      </c>
      <c r="AI474">
        <f t="shared" si="436"/>
        <v>1.568575716906214</v>
      </c>
      <c r="AJ474" t="str">
        <f t="shared" si="418"/>
        <v>1+8.57763798858159i</v>
      </c>
      <c r="AK474">
        <f t="shared" si="437"/>
        <v>8.6357323640301651</v>
      </c>
      <c r="AL474">
        <f t="shared" si="438"/>
        <v>1.454738022506906</v>
      </c>
      <c r="AM474" t="str">
        <f t="shared" si="419"/>
        <v>1-1.10442317418792i</v>
      </c>
      <c r="AN474">
        <f t="shared" si="439"/>
        <v>1.4898827295070312</v>
      </c>
      <c r="AO474">
        <f t="shared" si="440"/>
        <v>-0.83497830366136216</v>
      </c>
      <c r="AP474" s="41" t="str">
        <f t="shared" si="441"/>
        <v>1.20348298097318-1.67872527416473i</v>
      </c>
      <c r="AQ474">
        <f t="shared" si="442"/>
        <v>6.3007071490941442</v>
      </c>
      <c r="AR474" s="43">
        <f t="shared" si="443"/>
        <v>-54.363152223369326</v>
      </c>
      <c r="AS474" t="str">
        <f t="shared" si="420"/>
        <v>-0.0000166666666666667</v>
      </c>
      <c r="AT474" t="str">
        <f t="shared" si="421"/>
        <v>0.00775637477690889i</v>
      </c>
      <c r="AU474">
        <f t="shared" si="444"/>
        <v>7.7563747769088904E-3</v>
      </c>
      <c r="AV474">
        <f t="shared" si="445"/>
        <v>1.5707963267948966</v>
      </c>
      <c r="AW474" t="str">
        <f t="shared" si="422"/>
        <v>1+7.74966511014687i</v>
      </c>
      <c r="AX474">
        <f t="shared" si="446"/>
        <v>7.8139176678173214</v>
      </c>
      <c r="AY474">
        <f t="shared" si="447"/>
        <v>1.4424676144976321</v>
      </c>
      <c r="AZ474" t="str">
        <f t="shared" si="423"/>
        <v>1+263.488613744993i</v>
      </c>
      <c r="BA474">
        <f t="shared" si="448"/>
        <v>263.49051135336566</v>
      </c>
      <c r="BB474">
        <f t="shared" si="449"/>
        <v>1.5670011146050016</v>
      </c>
      <c r="BC474" s="41" t="str">
        <f t="shared" si="450"/>
        <v>-0.00900013819112787+0.0718968270858028i</v>
      </c>
      <c r="BD474">
        <f t="shared" si="451"/>
        <v>-22.798277728058551</v>
      </c>
      <c r="BE474" s="43">
        <f t="shared" si="452"/>
        <v>97.135243964144252</v>
      </c>
      <c r="BF474" s="41" t="str">
        <f t="shared" si="453"/>
        <v>0.0146224811930544-0.0293418106485231i</v>
      </c>
      <c r="BG474" s="20">
        <f t="shared" si="454"/>
        <v>-29.686889868594907</v>
      </c>
      <c r="BH474" s="43">
        <f t="shared" si="455"/>
        <v>-63.510645023818782</v>
      </c>
      <c r="BI474" s="41" t="str">
        <f t="shared" si="409"/>
        <v>0.109863507621759+0.101635367236157i</v>
      </c>
      <c r="BJ474" s="20">
        <f t="shared" si="456"/>
        <v>-16.49757057896441</v>
      </c>
      <c r="BK474" s="43">
        <f t="shared" si="410"/>
        <v>42.772091740775082</v>
      </c>
      <c r="BL474">
        <f t="shared" si="457"/>
        <v>-29.686889868594907</v>
      </c>
      <c r="BM474" s="43">
        <f t="shared" si="458"/>
        <v>-63.510645023818782</v>
      </c>
    </row>
    <row r="475" spans="14:65" x14ac:dyDescent="0.25">
      <c r="N475" s="9">
        <v>57</v>
      </c>
      <c r="O475" s="34">
        <f t="shared" si="408"/>
        <v>371535.2290971732</v>
      </c>
      <c r="P475" s="33" t="str">
        <f t="shared" si="411"/>
        <v>19.6196196196196</v>
      </c>
      <c r="Q475" s="4" t="str">
        <f t="shared" si="412"/>
        <v>1+565.063971003116i</v>
      </c>
      <c r="R475" s="4">
        <f t="shared" si="424"/>
        <v>565.06485585798941</v>
      </c>
      <c r="S475" s="4">
        <f t="shared" si="425"/>
        <v>1.5690266175100034</v>
      </c>
      <c r="T475" s="4" t="str">
        <f t="shared" si="413"/>
        <v>1+8.77743684403672i</v>
      </c>
      <c r="U475" s="4">
        <f t="shared" si="426"/>
        <v>8.8342174272005156</v>
      </c>
      <c r="V475" s="4">
        <f t="shared" si="427"/>
        <v>1.457356966640333</v>
      </c>
      <c r="W475" t="str">
        <f t="shared" si="414"/>
        <v>1-5.10655401498148i</v>
      </c>
      <c r="X475" s="4">
        <f t="shared" si="428"/>
        <v>5.203546281904627</v>
      </c>
      <c r="Y475" s="4">
        <f t="shared" si="429"/>
        <v>-1.3774166854435297</v>
      </c>
      <c r="Z475" t="str">
        <f t="shared" si="415"/>
        <v>0.861961573539711+3.41826472839576i</v>
      </c>
      <c r="AA475" s="4">
        <f t="shared" si="430"/>
        <v>3.525267579582235</v>
      </c>
      <c r="AB475" s="4">
        <f t="shared" si="431"/>
        <v>1.323782473903627</v>
      </c>
      <c r="AC475" s="47" t="str">
        <f t="shared" si="432"/>
        <v>-0.428516670123576-0.146166869162067i</v>
      </c>
      <c r="AD475" s="20">
        <f t="shared" si="433"/>
        <v>-6.8826459110115144</v>
      </c>
      <c r="AE475" s="43">
        <f t="shared" si="434"/>
        <v>-161.16551114940958</v>
      </c>
      <c r="AF475" t="str">
        <f t="shared" si="416"/>
        <v>72.2956529813786</v>
      </c>
      <c r="AG475" t="str">
        <f t="shared" si="417"/>
        <v>1+460.815434311928i</v>
      </c>
      <c r="AH475">
        <f t="shared" si="435"/>
        <v>460.81651934375225</v>
      </c>
      <c r="AI475">
        <f t="shared" si="436"/>
        <v>1.5686262639979147</v>
      </c>
      <c r="AJ475" t="str">
        <f t="shared" si="418"/>
        <v>1+8.77743684403672i</v>
      </c>
      <c r="AK475">
        <f t="shared" si="437"/>
        <v>8.8342174272005156</v>
      </c>
      <c r="AL475">
        <f t="shared" si="438"/>
        <v>1.457356966640333</v>
      </c>
      <c r="AM475" t="str">
        <f t="shared" si="419"/>
        <v>1-1.13014849465896i</v>
      </c>
      <c r="AN475">
        <f t="shared" si="439"/>
        <v>1.5090512317280396</v>
      </c>
      <c r="AO475">
        <f t="shared" si="440"/>
        <v>-0.84642062659082939</v>
      </c>
      <c r="AP475" s="41" t="str">
        <f t="shared" si="441"/>
        <v>1.20346720305309-1.71055709991667i</v>
      </c>
      <c r="AQ475">
        <f t="shared" si="442"/>
        <v>6.4091242687012571</v>
      </c>
      <c r="AR475" s="43">
        <f t="shared" si="443"/>
        <v>-54.871590724448758</v>
      </c>
      <c r="AS475" t="str">
        <f t="shared" si="420"/>
        <v>-0.0000166666666666667</v>
      </c>
      <c r="AT475" t="str">
        <f t="shared" si="421"/>
        <v>0.00793704395471406i</v>
      </c>
      <c r="AU475">
        <f t="shared" si="444"/>
        <v>7.9370439547140608E-3</v>
      </c>
      <c r="AV475">
        <f t="shared" si="445"/>
        <v>1.5707963267948966</v>
      </c>
      <c r="AW475" t="str">
        <f t="shared" si="422"/>
        <v>1+7.93017799973595i</v>
      </c>
      <c r="AX475">
        <f t="shared" si="446"/>
        <v>7.9929796138546525</v>
      </c>
      <c r="AY475">
        <f t="shared" si="447"/>
        <v>1.4453578370580917</v>
      </c>
      <c r="AZ475" t="str">
        <f t="shared" si="423"/>
        <v>1+269.626051991022i</v>
      </c>
      <c r="BA475">
        <f t="shared" si="448"/>
        <v>269.62790640485508</v>
      </c>
      <c r="BB475">
        <f t="shared" si="449"/>
        <v>1.567087503380068</v>
      </c>
      <c r="BC475" s="41" t="str">
        <f t="shared" si="450"/>
        <v>-0.008601405633578+0.0703105359013661i</v>
      </c>
      <c r="BD475">
        <f t="shared" si="451"/>
        <v>-22.995078031009015</v>
      </c>
      <c r="BE475" s="43">
        <f t="shared" si="452"/>
        <v>96.974596121785027</v>
      </c>
      <c r="BF475" s="41" t="str">
        <f t="shared" si="453"/>
        <v>0.0139629166022928-0.0288719961872045i</v>
      </c>
      <c r="BG475" s="20">
        <f t="shared" si="454"/>
        <v>-29.877723942020531</v>
      </c>
      <c r="BH475" s="43">
        <f t="shared" si="455"/>
        <v>-64.190915027624584</v>
      </c>
      <c r="BI475" s="41" t="str">
        <f t="shared" si="409"/>
        <v>0.109918676804861+0.099329619462161i</v>
      </c>
      <c r="BJ475" s="20">
        <f t="shared" si="456"/>
        <v>-16.585953762307739</v>
      </c>
      <c r="BK475" s="43">
        <f t="shared" si="410"/>
        <v>42.10300539733614</v>
      </c>
      <c r="BL475">
        <f t="shared" si="457"/>
        <v>-29.877723942020531</v>
      </c>
      <c r="BM475" s="43">
        <f t="shared" si="458"/>
        <v>-64.190915027624584</v>
      </c>
    </row>
    <row r="476" spans="14:65" x14ac:dyDescent="0.25">
      <c r="N476" s="9">
        <v>58</v>
      </c>
      <c r="O476" s="34">
        <f t="shared" si="408"/>
        <v>380189.39632056188</v>
      </c>
      <c r="P476" s="33" t="str">
        <f t="shared" si="411"/>
        <v>19.6196196196196</v>
      </c>
      <c r="Q476" s="4" t="str">
        <f t="shared" si="412"/>
        <v>1+578.226001717823i</v>
      </c>
      <c r="R476" s="4">
        <f t="shared" si="424"/>
        <v>578.22686643097097</v>
      </c>
      <c r="S476" s="4">
        <f t="shared" si="425"/>
        <v>1.5690669009301697</v>
      </c>
      <c r="T476" s="4" t="str">
        <f t="shared" si="413"/>
        <v>1+8.98188961268967i</v>
      </c>
      <c r="U476" s="4">
        <f t="shared" si="426"/>
        <v>9.0373857400546207</v>
      </c>
      <c r="V476" s="4">
        <f t="shared" si="427"/>
        <v>1.4599178073625958</v>
      </c>
      <c r="W476" t="str">
        <f t="shared" si="414"/>
        <v>1-5.22550093823369i</v>
      </c>
      <c r="X476" s="4">
        <f t="shared" si="428"/>
        <v>5.3203251832459619</v>
      </c>
      <c r="Y476" s="4">
        <f t="shared" si="429"/>
        <v>-1.3817132065516171</v>
      </c>
      <c r="Z476" t="str">
        <f t="shared" si="415"/>
        <v>0.855456022925407+3.49788634232786i</v>
      </c>
      <c r="AA476" s="4">
        <f t="shared" si="430"/>
        <v>3.6009740169852833</v>
      </c>
      <c r="AB476" s="4">
        <f t="shared" si="431"/>
        <v>1.3309406904117829</v>
      </c>
      <c r="AC476" s="47" t="str">
        <f t="shared" si="432"/>
        <v>-0.430088194155557-0.142426279817727i</v>
      </c>
      <c r="AD476" s="20">
        <f t="shared" si="433"/>
        <v>-6.8769334816688215</v>
      </c>
      <c r="AE476" s="43">
        <f t="shared" si="434"/>
        <v>-161.67740197481893</v>
      </c>
      <c r="AF476" t="str">
        <f t="shared" si="416"/>
        <v>72.2956529813786</v>
      </c>
      <c r="AG476" t="str">
        <f t="shared" si="417"/>
        <v>1+471.549204666208i</v>
      </c>
      <c r="AH476">
        <f t="shared" si="435"/>
        <v>471.55026499974889</v>
      </c>
      <c r="AI476">
        <f t="shared" si="436"/>
        <v>1.5686756605080512</v>
      </c>
      <c r="AJ476" t="str">
        <f t="shared" si="418"/>
        <v>1+8.98188961268967i</v>
      </c>
      <c r="AK476">
        <f t="shared" si="437"/>
        <v>9.0373857400546207</v>
      </c>
      <c r="AL476">
        <f t="shared" si="438"/>
        <v>1.4599178073625958</v>
      </c>
      <c r="AM476" t="str">
        <f t="shared" si="419"/>
        <v>1-1.15647303482116i</v>
      </c>
      <c r="AN476">
        <f t="shared" si="439"/>
        <v>1.5288655533657836</v>
      </c>
      <c r="AO476">
        <f t="shared" si="440"/>
        <v>-0.85783092329493826</v>
      </c>
      <c r="AP476" s="41" t="str">
        <f t="shared" si="441"/>
        <v>1.20345213524984-1.74329588260206i</v>
      </c>
      <c r="AQ476">
        <f t="shared" si="442"/>
        <v>6.519926134004348</v>
      </c>
      <c r="AR476" s="43">
        <f t="shared" si="443"/>
        <v>-55.381457414748809</v>
      </c>
      <c r="AS476" t="str">
        <f t="shared" si="420"/>
        <v>-0.0000166666666666667</v>
      </c>
      <c r="AT476" t="str">
        <f t="shared" si="421"/>
        <v>0.00812192145828323i</v>
      </c>
      <c r="AU476">
        <f t="shared" si="444"/>
        <v>8.1219214582832298E-3</v>
      </c>
      <c r="AV476">
        <f t="shared" si="445"/>
        <v>1.5707963267948966</v>
      </c>
      <c r="AW476" t="str">
        <f t="shared" si="422"/>
        <v>1+8.1148955746688i</v>
      </c>
      <c r="AX476">
        <f t="shared" si="446"/>
        <v>8.1762785047831681</v>
      </c>
      <c r="AY476">
        <f t="shared" si="447"/>
        <v>1.448184307284623</v>
      </c>
      <c r="AZ476" t="str">
        <f t="shared" si="423"/>
        <v>1+275.906449538739i</v>
      </c>
      <c r="BA476">
        <f t="shared" si="448"/>
        <v>275.90826174124027</v>
      </c>
      <c r="BB476">
        <f t="shared" si="449"/>
        <v>1.5671719257600276</v>
      </c>
      <c r="BC476" s="41" t="str">
        <f t="shared" si="450"/>
        <v>-0.00822006945704502+0.0687570648318495i</v>
      </c>
      <c r="BD476">
        <f t="shared" si="451"/>
        <v>-23.192020137960874</v>
      </c>
      <c r="BE476" s="43">
        <f t="shared" si="452"/>
        <v>96.817488352953532</v>
      </c>
      <c r="BF476" s="41" t="str">
        <f t="shared" si="453"/>
        <v>0.0133281677838003-0.0284008479363565i</v>
      </c>
      <c r="BG476" s="20">
        <f t="shared" si="454"/>
        <v>-30.068953619629688</v>
      </c>
      <c r="BH476" s="43">
        <f t="shared" si="455"/>
        <v>-64.859913621865502</v>
      </c>
      <c r="BI476" s="41" t="str">
        <f t="shared" si="409"/>
        <v>0.109971447881183+0.0970758497245705i</v>
      </c>
      <c r="BJ476" s="20">
        <f t="shared" si="456"/>
        <v>-16.672094003956538</v>
      </c>
      <c r="BK476" s="43">
        <f t="shared" si="410"/>
        <v>41.436030938204816</v>
      </c>
      <c r="BL476">
        <f t="shared" si="457"/>
        <v>-30.068953619629688</v>
      </c>
      <c r="BM476" s="43">
        <f t="shared" si="458"/>
        <v>-64.859913621865502</v>
      </c>
    </row>
    <row r="477" spans="14:65" x14ac:dyDescent="0.25">
      <c r="N477" s="9">
        <v>59</v>
      </c>
      <c r="O477" s="34">
        <f t="shared" si="408"/>
        <v>389045.14499428123</v>
      </c>
      <c r="P477" s="33" t="str">
        <f t="shared" si="411"/>
        <v>19.6196196196196</v>
      </c>
      <c r="Q477" s="4" t="str">
        <f t="shared" si="412"/>
        <v>1+591.694615512368i</v>
      </c>
      <c r="R477" s="4">
        <f t="shared" si="424"/>
        <v>591.6954605422701</v>
      </c>
      <c r="S477" s="4">
        <f t="shared" si="425"/>
        <v>1.5691062673931668</v>
      </c>
      <c r="T477" s="4" t="str">
        <f t="shared" si="413"/>
        <v>1+9.19110469810464i</v>
      </c>
      <c r="U477" s="4">
        <f t="shared" si="426"/>
        <v>9.2453450758487747</v>
      </c>
      <c r="V477" s="4">
        <f t="shared" si="427"/>
        <v>1.4624217680425613</v>
      </c>
      <c r="W477" t="str">
        <f t="shared" si="414"/>
        <v>1-5.34721849125105i</v>
      </c>
      <c r="X477" s="4">
        <f t="shared" si="428"/>
        <v>5.439921469394311</v>
      </c>
      <c r="Y477" s="4">
        <f t="shared" si="429"/>
        <v>-1.385918765116452</v>
      </c>
      <c r="Z477" t="str">
        <f t="shared" si="415"/>
        <v>0.848643875156379+3.57936258189866i</v>
      </c>
      <c r="AA477" s="4">
        <f t="shared" si="430"/>
        <v>3.6785911596067153</v>
      </c>
      <c r="AB477" s="4">
        <f t="shared" si="431"/>
        <v>1.338001284276608</v>
      </c>
      <c r="AC477" s="47" t="str">
        <f t="shared" si="432"/>
        <v>-0.431596562245144-0.13872262088201i</v>
      </c>
      <c r="AD477" s="20">
        <f t="shared" si="433"/>
        <v>-6.8714684257263192</v>
      </c>
      <c r="AE477" s="43">
        <f t="shared" si="434"/>
        <v>-162.18169411354495</v>
      </c>
      <c r="AF477" t="str">
        <f t="shared" si="416"/>
        <v>72.2956529813786</v>
      </c>
      <c r="AG477" t="str">
        <f t="shared" si="417"/>
        <v>1+482.532996650494i</v>
      </c>
      <c r="AH477">
        <f t="shared" si="435"/>
        <v>482.53403284794911</v>
      </c>
      <c r="AI477">
        <f t="shared" si="436"/>
        <v>1.5687239326263418</v>
      </c>
      <c r="AJ477" t="str">
        <f t="shared" si="418"/>
        <v>1+9.19110469810464i</v>
      </c>
      <c r="AK477">
        <f t="shared" si="437"/>
        <v>9.2453450758487747</v>
      </c>
      <c r="AL477">
        <f t="shared" si="438"/>
        <v>1.4624217680425613</v>
      </c>
      <c r="AM477" t="str">
        <f t="shared" si="419"/>
        <v>1-1.18341075229415i</v>
      </c>
      <c r="AN477">
        <f t="shared" si="439"/>
        <v>1.5493421212390135</v>
      </c>
      <c r="AO477">
        <f t="shared" si="440"/>
        <v>-0.86920336007741106</v>
      </c>
      <c r="AP477" s="41" t="str">
        <f t="shared" si="441"/>
        <v>1.20343774560349-1.77695898096258i</v>
      </c>
      <c r="AQ477">
        <f t="shared" si="442"/>
        <v>6.6330937778378729</v>
      </c>
      <c r="AR477" s="43">
        <f t="shared" si="443"/>
        <v>-55.892349454781183</v>
      </c>
      <c r="AS477" t="str">
        <f t="shared" si="420"/>
        <v>-0.0000166666666666667</v>
      </c>
      <c r="AT477" t="str">
        <f t="shared" si="421"/>
        <v>0.00831110531211591i</v>
      </c>
      <c r="AU477">
        <f t="shared" si="444"/>
        <v>8.3111053121159104E-3</v>
      </c>
      <c r="AV477">
        <f t="shared" si="445"/>
        <v>1.5707963267948966</v>
      </c>
      <c r="AW477" t="str">
        <f t="shared" si="422"/>
        <v>1+8.30391577464869i</v>
      </c>
      <c r="AX477">
        <f t="shared" si="446"/>
        <v>8.3639115964038826</v>
      </c>
      <c r="AY477">
        <f t="shared" si="447"/>
        <v>1.4509483430687233</v>
      </c>
      <c r="AZ477" t="str">
        <f t="shared" si="423"/>
        <v>1+282.333136338055i</v>
      </c>
      <c r="BA477">
        <f t="shared" si="448"/>
        <v>282.33490729005285</v>
      </c>
      <c r="BB477">
        <f t="shared" si="449"/>
        <v>1.5672544265019277</v>
      </c>
      <c r="BC477" s="41" t="str">
        <f t="shared" si="450"/>
        <v>-0.00785539398755982+0.0672358790421736i</v>
      </c>
      <c r="BD477">
        <f t="shared" si="451"/>
        <v>-23.389097857954894</v>
      </c>
      <c r="BE477" s="43">
        <f t="shared" si="452"/>
        <v>96.663847712419027</v>
      </c>
      <c r="BF477" s="41" t="str">
        <f t="shared" si="453"/>
        <v>0.0127174983981481-0.0279290534121174i</v>
      </c>
      <c r="BG477" s="20">
        <f t="shared" si="454"/>
        <v>-30.260566283681204</v>
      </c>
      <c r="BH477" s="43">
        <f t="shared" si="455"/>
        <v>-65.517846401125993</v>
      </c>
      <c r="BI477" s="41" t="str">
        <f t="shared" si="409"/>
        <v>0.110021921475688+0.0948729075933762i</v>
      </c>
      <c r="BJ477" s="20">
        <f t="shared" si="456"/>
        <v>-16.756004080117012</v>
      </c>
      <c r="BK477" s="43">
        <f t="shared" si="410"/>
        <v>40.771498257637823</v>
      </c>
      <c r="BL477">
        <f t="shared" si="457"/>
        <v>-30.260566283681204</v>
      </c>
      <c r="BM477" s="43">
        <f t="shared" si="458"/>
        <v>-65.517846401125993</v>
      </c>
    </row>
    <row r="478" spans="14:65" x14ac:dyDescent="0.25">
      <c r="N478" s="9">
        <v>60</v>
      </c>
      <c r="O478" s="34">
        <f t="shared" si="408"/>
        <v>398107.17055349716</v>
      </c>
      <c r="P478" s="33" t="str">
        <f t="shared" si="411"/>
        <v>19.6196196196196</v>
      </c>
      <c r="Q478" s="4" t="str">
        <f t="shared" si="412"/>
        <v>1+605.47695362406i</v>
      </c>
      <c r="R478" s="4">
        <f t="shared" si="424"/>
        <v>605.47777941875961</v>
      </c>
      <c r="S478" s="4">
        <f t="shared" si="425"/>
        <v>1.5691447377711267</v>
      </c>
      <c r="T478" s="4" t="str">
        <f t="shared" si="413"/>
        <v>1+9.40519302888917i</v>
      </c>
      <c r="U478" s="4">
        <f t="shared" si="426"/>
        <v>9.4582057447840207</v>
      </c>
      <c r="V478" s="4">
        <f t="shared" si="427"/>
        <v>1.464870050650068</v>
      </c>
      <c r="W478" t="str">
        <f t="shared" si="414"/>
        <v>1-5.47177121029125i</v>
      </c>
      <c r="X478" s="4">
        <f t="shared" si="428"/>
        <v>5.5623987791035061</v>
      </c>
      <c r="Y478" s="4">
        <f t="shared" si="429"/>
        <v>-1.3900349956312654</v>
      </c>
      <c r="Z478" t="str">
        <f t="shared" si="415"/>
        <v>0.841510680753889+3.66273664688883i</v>
      </c>
      <c r="AA478" s="4">
        <f t="shared" si="430"/>
        <v>3.7581617807493735</v>
      </c>
      <c r="AB478" s="4">
        <f t="shared" si="431"/>
        <v>1.3449661857736188</v>
      </c>
      <c r="AC478" s="47" t="str">
        <f t="shared" si="432"/>
        <v>-0.433043599970566-0.135056144137894i</v>
      </c>
      <c r="AD478" s="20">
        <f t="shared" si="433"/>
        <v>-6.8662443980280843</v>
      </c>
      <c r="AE478" s="43">
        <f t="shared" si="434"/>
        <v>-162.67852413987774</v>
      </c>
      <c r="AF478" t="str">
        <f t="shared" si="416"/>
        <v>72.2956529813786</v>
      </c>
      <c r="AG478" t="str">
        <f t="shared" si="417"/>
        <v>1+493.772634016682i</v>
      </c>
      <c r="AH478">
        <f t="shared" si="435"/>
        <v>493.77364662745231</v>
      </c>
      <c r="AI478">
        <f t="shared" si="436"/>
        <v>1.5687711059464025</v>
      </c>
      <c r="AJ478" t="str">
        <f t="shared" si="418"/>
        <v>1+9.40519302888917i</v>
      </c>
      <c r="AK478">
        <f t="shared" si="437"/>
        <v>9.4582057447840207</v>
      </c>
      <c r="AL478">
        <f t="shared" si="438"/>
        <v>1.464870050650068</v>
      </c>
      <c r="AM478" t="str">
        <f t="shared" si="419"/>
        <v>1-1.2109759298123i</v>
      </c>
      <c r="AN478">
        <f t="shared" si="439"/>
        <v>1.5704975971279818</v>
      </c>
      <c r="AO478">
        <f t="shared" si="440"/>
        <v>-0.88053220101632868</v>
      </c>
      <c r="AP478" s="41" t="str">
        <f t="shared" si="441"/>
        <v>1.20342400359246-1.81156424381061i</v>
      </c>
      <c r="AQ478">
        <f t="shared" si="442"/>
        <v>6.7486062122540789</v>
      </c>
      <c r="AR478" s="43">
        <f t="shared" si="443"/>
        <v>-56.403870799036106</v>
      </c>
      <c r="AS478" t="str">
        <f t="shared" si="420"/>
        <v>-0.0000166666666666667</v>
      </c>
      <c r="AT478" t="str">
        <f t="shared" si="421"/>
        <v>0.00850469582399554i</v>
      </c>
      <c r="AU478">
        <f t="shared" si="444"/>
        <v>8.5046958239955398E-3</v>
      </c>
      <c r="AV478">
        <f t="shared" si="445"/>
        <v>1.5707963267948966</v>
      </c>
      <c r="AW478" t="str">
        <f t="shared" si="422"/>
        <v>1+8.4973388206876i</v>
      </c>
      <c r="AX478">
        <f t="shared" si="446"/>
        <v>8.5559784381194248</v>
      </c>
      <c r="AY478">
        <f t="shared" si="447"/>
        <v>1.4536512409126376</v>
      </c>
      <c r="AZ478" t="str">
        <f t="shared" si="423"/>
        <v>1+288.909519903378i</v>
      </c>
      <c r="BA478">
        <f t="shared" si="448"/>
        <v>288.9112505438311</v>
      </c>
      <c r="BB478">
        <f t="shared" si="449"/>
        <v>1.5673350493442584</v>
      </c>
      <c r="BC478" s="41" t="str">
        <f t="shared" si="450"/>
        <v>-0.00750667263514862+0.0657464424736075i</v>
      </c>
      <c r="BD478">
        <f t="shared" si="451"/>
        <v>-23.586305262202266</v>
      </c>
      <c r="BE478" s="43">
        <f t="shared" si="452"/>
        <v>96.51360242210562</v>
      </c>
      <c r="BF478" s="41" t="str">
        <f t="shared" si="453"/>
        <v>0.0121301775529946-0.0274572538726201i</v>
      </c>
      <c r="BG478" s="20">
        <f t="shared" si="454"/>
        <v>-30.452549660230353</v>
      </c>
      <c r="BH478" s="43">
        <f t="shared" si="455"/>
        <v>-66.164921717772103</v>
      </c>
      <c r="BI478" s="41" t="str">
        <f t="shared" si="409"/>
        <v>0.11007019430669+0.0927196667593769i</v>
      </c>
      <c r="BJ478" s="20">
        <f t="shared" si="456"/>
        <v>-16.837699049948188</v>
      </c>
      <c r="BK478" s="43">
        <f t="shared" si="410"/>
        <v>40.109731623069521</v>
      </c>
      <c r="BL478">
        <f t="shared" si="457"/>
        <v>-30.452549660230353</v>
      </c>
      <c r="BM478" s="43">
        <f t="shared" si="458"/>
        <v>-66.164921717772103</v>
      </c>
    </row>
    <row r="479" spans="14:65" x14ac:dyDescent="0.25">
      <c r="N479" s="9">
        <v>61</v>
      </c>
      <c r="O479" s="34">
        <f t="shared" si="408"/>
        <v>407380.27780411334</v>
      </c>
      <c r="P479" s="33" t="str">
        <f t="shared" si="411"/>
        <v>19.6196196196196</v>
      </c>
      <c r="Q479" s="4" t="str">
        <f t="shared" si="412"/>
        <v>1+619.580323631i</v>
      </c>
      <c r="R479" s="4">
        <f t="shared" si="424"/>
        <v>619.58113062834218</v>
      </c>
      <c r="S479" s="4">
        <f t="shared" si="425"/>
        <v>1.5691823324610974</v>
      </c>
      <c r="T479" s="4" t="str">
        <f t="shared" si="413"/>
        <v>1+9.6242681175101i</v>
      </c>
      <c r="U479" s="4">
        <f t="shared" si="426"/>
        <v>9.6760806527085848</v>
      </c>
      <c r="V479" s="4">
        <f t="shared" si="427"/>
        <v>1.4672638358312704</v>
      </c>
      <c r="W479" t="str">
        <f t="shared" si="414"/>
        <v>1-5.59922513485462i</v>
      </c>
      <c r="X479" s="4">
        <f t="shared" si="428"/>
        <v>5.6878222643457956</v>
      </c>
      <c r="Y479" s="4">
        <f t="shared" si="429"/>
        <v>-1.3940635223607363</v>
      </c>
      <c r="Z479" t="str">
        <f t="shared" si="415"/>
        <v>0.834041309256244+3.74805274333125i</v>
      </c>
      <c r="AA479" s="4">
        <f t="shared" si="430"/>
        <v>3.8397297134484316</v>
      </c>
      <c r="AB479" s="4">
        <f t="shared" si="431"/>
        <v>1.3518373771149008</v>
      </c>
      <c r="AC479" s="47" t="str">
        <f t="shared" si="432"/>
        <v>-0.434431106631797-0.131427011283197i</v>
      </c>
      <c r="AD479" s="20">
        <f t="shared" si="433"/>
        <v>-6.8612551536973809</v>
      </c>
      <c r="AE479" s="43">
        <f t="shared" si="434"/>
        <v>-163.16803221233798</v>
      </c>
      <c r="AF479" t="str">
        <f t="shared" si="416"/>
        <v>72.2956529813786</v>
      </c>
      <c r="AG479" t="str">
        <f t="shared" si="417"/>
        <v>1+505.27407616928i</v>
      </c>
      <c r="AH479">
        <f t="shared" si="435"/>
        <v>505.27506573026091</v>
      </c>
      <c r="AI479">
        <f t="shared" si="436"/>
        <v>1.5688172054793115</v>
      </c>
      <c r="AJ479" t="str">
        <f t="shared" si="418"/>
        <v>1+9.6242681175101i</v>
      </c>
      <c r="AK479">
        <f t="shared" si="437"/>
        <v>9.6760806527085848</v>
      </c>
      <c r="AL479">
        <f t="shared" si="438"/>
        <v>1.4672638358312704</v>
      </c>
      <c r="AM479" t="str">
        <f t="shared" si="419"/>
        <v>1-1.23918318279759i</v>
      </c>
      <c r="AN479">
        <f t="shared" si="439"/>
        <v>1.5923488815358167</v>
      </c>
      <c r="AO479">
        <f t="shared" si="440"/>
        <v>-0.89181182180975804</v>
      </c>
      <c r="AP479" s="41" t="str">
        <f t="shared" si="441"/>
        <v>1.20341088006886-1.84713001949375i</v>
      </c>
      <c r="AQ479">
        <f t="shared" si="442"/>
        <v>6.8664404853122853</v>
      </c>
      <c r="AR479" s="43">
        <f t="shared" si="443"/>
        <v>-56.915632985736892</v>
      </c>
      <c r="AS479" t="str">
        <f t="shared" si="420"/>
        <v>-0.0000166666666666667</v>
      </c>
      <c r="AT479" t="str">
        <f t="shared" si="421"/>
        <v>0.00870279563817405i</v>
      </c>
      <c r="AU479">
        <f t="shared" si="444"/>
        <v>8.7027956381740493E-3</v>
      </c>
      <c r="AV479">
        <f t="shared" si="445"/>
        <v>1.5707963267948966</v>
      </c>
      <c r="AW479" t="str">
        <f t="shared" si="422"/>
        <v>1+8.69526726824483i</v>
      </c>
      <c r="AX479">
        <f t="shared" si="446"/>
        <v>8.7525809260017642</v>
      </c>
      <c r="AY479">
        <f t="shared" si="447"/>
        <v>1.4562942758720496</v>
      </c>
      <c r="AZ479" t="str">
        <f t="shared" si="423"/>
        <v>1+295.639087120324i</v>
      </c>
      <c r="BA479">
        <f t="shared" si="448"/>
        <v>295.64077836681889</v>
      </c>
      <c r="BB479">
        <f t="shared" si="449"/>
        <v>1.5674138370301234</v>
      </c>
      <c r="BC479" s="41" t="str">
        <f t="shared" si="450"/>
        <v>-0.00717322692223003+0.0642882186850643i</v>
      </c>
      <c r="BD479">
        <f t="shared" si="451"/>
        <v>-23.783636673688516</v>
      </c>
      <c r="BE479" s="43">
        <f t="shared" si="452"/>
        <v>96.366681875703463</v>
      </c>
      <c r="BF479" s="41" t="str">
        <f t="shared" si="453"/>
        <v>0.011565481352444-0.0269860462110946i</v>
      </c>
      <c r="BG479" s="20">
        <f t="shared" si="454"/>
        <v>-30.644891827385898</v>
      </c>
      <c r="BH479" s="43">
        <f t="shared" si="455"/>
        <v>-66.801350336634485</v>
      </c>
      <c r="BI479" s="41" t="str">
        <f t="shared" si="409"/>
        <v>0.110116359309547+0.0906150246105444i</v>
      </c>
      <c r="BJ479" s="20">
        <f t="shared" si="456"/>
        <v>-16.917196188376224</v>
      </c>
      <c r="BK479" s="43">
        <f t="shared" si="410"/>
        <v>39.451048889966529</v>
      </c>
      <c r="BL479">
        <f t="shared" si="457"/>
        <v>-30.644891827385898</v>
      </c>
      <c r="BM479" s="43">
        <f t="shared" si="458"/>
        <v>-66.801350336634485</v>
      </c>
    </row>
    <row r="480" spans="14:65" x14ac:dyDescent="0.25">
      <c r="N480" s="9">
        <v>62</v>
      </c>
      <c r="O480" s="34">
        <f t="shared" si="408"/>
        <v>416869.38347033598</v>
      </c>
      <c r="P480" s="33" t="str">
        <f t="shared" si="411"/>
        <v>19.6196196196196</v>
      </c>
      <c r="Q480" s="4" t="str">
        <f t="shared" si="412"/>
        <v>1+634.012203326645i</v>
      </c>
      <c r="R480" s="4">
        <f t="shared" si="424"/>
        <v>634.01299195450792</v>
      </c>
      <c r="S480" s="4">
        <f t="shared" si="425"/>
        <v>1.5692190713958554</v>
      </c>
      <c r="T480" s="4" t="str">
        <f t="shared" si="413"/>
        <v>1+9.84844612047919i</v>
      </c>
      <c r="U480" s="4">
        <f t="shared" si="426"/>
        <v>9.8990853611826992</v>
      </c>
      <c r="V480" s="4">
        <f t="shared" si="427"/>
        <v>1.469604283007774</v>
      </c>
      <c r="W480" t="str">
        <f t="shared" si="414"/>
        <v>1-5.729647842699i</v>
      </c>
      <c r="X480" s="4">
        <f t="shared" si="428"/>
        <v>5.8162586257271363</v>
      </c>
      <c r="Y480" s="4">
        <f t="shared" si="429"/>
        <v>-1.3980059579924815</v>
      </c>
      <c r="Z480" t="str">
        <f t="shared" si="415"/>
        <v>0.826219917125062+3.83535610694953i</v>
      </c>
      <c r="AA480" s="4">
        <f t="shared" si="430"/>
        <v>3.9233398805825122</v>
      </c>
      <c r="AB480" s="4">
        <f t="shared" si="431"/>
        <v>1.3586168882527898</v>
      </c>
      <c r="AC480" s="47" t="str">
        <f t="shared" si="432"/>
        <v>-0.435760851919176-0.127835298085231i</v>
      </c>
      <c r="AD480" s="20">
        <f t="shared" si="433"/>
        <v>-6.8564945649392897</v>
      </c>
      <c r="AE480" s="43">
        <f t="shared" si="434"/>
        <v>-163.6503617509203</v>
      </c>
      <c r="AF480" t="str">
        <f t="shared" si="416"/>
        <v>72.2956529813786</v>
      </c>
      <c r="AG480" t="str">
        <f t="shared" si="417"/>
        <v>1+517.043421325158i</v>
      </c>
      <c r="AH480">
        <f t="shared" si="435"/>
        <v>517.04438836102338</v>
      </c>
      <c r="AI480">
        <f t="shared" si="436"/>
        <v>1.568862255666867</v>
      </c>
      <c r="AJ480" t="str">
        <f t="shared" si="418"/>
        <v>1+9.84844612047919i</v>
      </c>
      <c r="AK480">
        <f t="shared" si="437"/>
        <v>9.8990853611826992</v>
      </c>
      <c r="AL480">
        <f t="shared" si="438"/>
        <v>1.469604283007774</v>
      </c>
      <c r="AM480" t="str">
        <f t="shared" si="419"/>
        <v>1-1.26804746710894i</v>
      </c>
      <c r="AN480">
        <f t="shared" si="439"/>
        <v>1.6149131180473448</v>
      </c>
      <c r="AO480">
        <f t="shared" si="440"/>
        <v>-0.90303672293589765</v>
      </c>
      <c r="AP480" s="41" t="str">
        <f t="shared" si="441"/>
        <v>1.2033983471966-1.88367516562433i</v>
      </c>
      <c r="AQ480">
        <f t="shared" si="442"/>
        <v>6.9865717461990489</v>
      </c>
      <c r="AR480" s="43">
        <f t="shared" si="443"/>
        <v>-57.427255885942465</v>
      </c>
      <c r="AS480" t="str">
        <f t="shared" si="420"/>
        <v>-0.0000166666666666667</v>
      </c>
      <c r="AT480" t="str">
        <f t="shared" si="421"/>
        <v>0.00890550978979501i</v>
      </c>
      <c r="AU480">
        <f t="shared" si="444"/>
        <v>8.9055097897950096E-3</v>
      </c>
      <c r="AV480">
        <f t="shared" si="445"/>
        <v>1.5707963267948966</v>
      </c>
      <c r="AW480" t="str">
        <f t="shared" si="422"/>
        <v>1+8.89780606160317i</v>
      </c>
      <c r="AX480">
        <f t="shared" si="446"/>
        <v>8.9538233570861845</v>
      </c>
      <c r="AY480">
        <f t="shared" si="447"/>
        <v>1.4588787015331908</v>
      </c>
      <c r="AZ480" t="str">
        <f t="shared" si="423"/>
        <v>1+302.525406094507i</v>
      </c>
      <c r="BA480">
        <f t="shared" si="448"/>
        <v>302.52705884374438</v>
      </c>
      <c r="BB480">
        <f t="shared" si="449"/>
        <v>1.5674908313298814</v>
      </c>
      <c r="BC480" s="41" t="str">
        <f t="shared" si="450"/>
        <v>-0.0068544055281685+0.062860671629349i</v>
      </c>
      <c r="BD480">
        <f t="shared" si="451"/>
        <v>-23.981086657126976</v>
      </c>
      <c r="BE480" s="43">
        <f t="shared" si="452"/>
        <v>96.223016641277468</v>
      </c>
      <c r="BF480" s="41" t="str">
        <f t="shared" si="453"/>
        <v>0.0110226942879299-0.0265159848475262i</v>
      </c>
      <c r="BG480" s="20">
        <f t="shared" si="454"/>
        <v>-30.837581222066266</v>
      </c>
      <c r="BH480" s="43">
        <f t="shared" si="455"/>
        <v>-67.427345109642744</v>
      </c>
      <c r="BI480" s="41" t="str">
        <f t="shared" si="409"/>
        <v>0.110160505759057+0.0885579018109559i</v>
      </c>
      <c r="BJ480" s="20">
        <f t="shared" si="456"/>
        <v>-16.994514910927943</v>
      </c>
      <c r="BK480" s="43">
        <f t="shared" si="410"/>
        <v>38.795760755335095</v>
      </c>
      <c r="BL480">
        <f t="shared" si="457"/>
        <v>-30.837581222066266</v>
      </c>
      <c r="BM480" s="43">
        <f t="shared" si="458"/>
        <v>-67.427345109642744</v>
      </c>
    </row>
    <row r="481" spans="14:65" x14ac:dyDescent="0.25">
      <c r="N481" s="9">
        <v>63</v>
      </c>
      <c r="O481" s="34">
        <f t="shared" si="408"/>
        <v>426579.51880159322</v>
      </c>
      <c r="P481" s="33" t="str">
        <f t="shared" si="411"/>
        <v>19.6196196196196</v>
      </c>
      <c r="Q481" s="4" t="str">
        <f t="shared" si="412"/>
        <v>1+648.780244684637i</v>
      </c>
      <c r="R481" s="4">
        <f t="shared" si="424"/>
        <v>648.7810153611598</v>
      </c>
      <c r="S481" s="4">
        <f t="shared" si="425"/>
        <v>1.5692549740544735</v>
      </c>
      <c r="T481" s="4" t="str">
        <f t="shared" si="413"/>
        <v>1+10.0778458999409i</v>
      </c>
      <c r="U481" s="4">
        <f t="shared" si="426"/>
        <v>10.127338148939019</v>
      </c>
      <c r="V481" s="4">
        <f t="shared" si="427"/>
        <v>1.4718925304975317</v>
      </c>
      <c r="W481" t="str">
        <f t="shared" si="414"/>
        <v>1-5.86310848567043i</v>
      </c>
      <c r="X481" s="4">
        <f t="shared" si="428"/>
        <v>5.9477761486744436</v>
      </c>
      <c r="Y481" s="4">
        <f t="shared" si="429"/>
        <v>-1.4018639024026907</v>
      </c>
      <c r="Z481" t="str">
        <f t="shared" si="415"/>
        <v>0.818029914139001+3.92469302714265i</v>
      </c>
      <c r="AA481" s="4">
        <f t="shared" si="430"/>
        <v>4.0090383257993931</v>
      </c>
      <c r="AB481" s="4">
        <f t="shared" si="431"/>
        <v>1.3653067928995537</v>
      </c>
      <c r="AC481" s="47" t="str">
        <f t="shared" si="432"/>
        <v>-0.43703457293369-0.124280998509035i</v>
      </c>
      <c r="AD481" s="20">
        <f t="shared" si="433"/>
        <v>-6.851956636128139</v>
      </c>
      <c r="AE481" s="43">
        <f t="shared" si="434"/>
        <v>-164.12565913199361</v>
      </c>
      <c r="AF481" t="str">
        <f t="shared" si="416"/>
        <v>72.2956529813786</v>
      </c>
      <c r="AG481" t="str">
        <f t="shared" si="417"/>
        <v>1+529.086909746899i</v>
      </c>
      <c r="AH481">
        <f t="shared" si="435"/>
        <v>529.08785477038043</v>
      </c>
      <c r="AI481">
        <f t="shared" si="436"/>
        <v>1.5689062803945433</v>
      </c>
      <c r="AJ481" t="str">
        <f t="shared" si="418"/>
        <v>1+10.0778458999409i</v>
      </c>
      <c r="AK481">
        <f t="shared" si="437"/>
        <v>10.127338148939019</v>
      </c>
      <c r="AL481">
        <f t="shared" si="438"/>
        <v>1.4718925304975317</v>
      </c>
      <c r="AM481" t="str">
        <f t="shared" si="419"/>
        <v>1-1.29758408697194i</v>
      </c>
      <c r="AN481">
        <f t="shared" si="439"/>
        <v>1.6382076982979916</v>
      </c>
      <c r="AO481">
        <f t="shared" si="440"/>
        <v>-0.91420154205807314</v>
      </c>
      <c r="AP481" s="41" t="str">
        <f t="shared" si="441"/>
        <v>1.20338637839237-1.92121905907861i</v>
      </c>
      <c r="AQ481">
        <f t="shared" si="442"/>
        <v>7.1089733180505963</v>
      </c>
      <c r="AR481" s="43">
        <f t="shared" si="443"/>
        <v>-57.938368408115664</v>
      </c>
      <c r="AS481" t="str">
        <f t="shared" si="420"/>
        <v>-0.0000166666666666667</v>
      </c>
      <c r="AT481" t="str">
        <f t="shared" si="421"/>
        <v>0.00911294576058489i</v>
      </c>
      <c r="AU481">
        <f t="shared" si="444"/>
        <v>9.1129457605848892E-3</v>
      </c>
      <c r="AV481">
        <f t="shared" si="445"/>
        <v>1.5707963267948966</v>
      </c>
      <c r="AW481" t="str">
        <f t="shared" si="422"/>
        <v>1+9.10506258951174i</v>
      </c>
      <c r="AX481">
        <f t="shared" si="446"/>
        <v>9.1598124849216322</v>
      </c>
      <c r="AY481">
        <f t="shared" si="447"/>
        <v>1.4614057500217097</v>
      </c>
      <c r="AZ481" t="str">
        <f t="shared" si="423"/>
        <v>1+309.572128043399i</v>
      </c>
      <c r="BA481">
        <f t="shared" si="448"/>
        <v>309.57374317166926</v>
      </c>
      <c r="BB481">
        <f t="shared" si="449"/>
        <v>1.5675660730632763</v>
      </c>
      <c r="BC481" s="41" t="str">
        <f t="shared" si="450"/>
        <v>-0.00654958335142153+0.0614632663680378i</v>
      </c>
      <c r="BD481">
        <f t="shared" si="451"/>
        <v>-24.17865000925708</v>
      </c>
      <c r="BE481" s="43">
        <f t="shared" si="452"/>
        <v>96.082538462027188</v>
      </c>
      <c r="BF481" s="41" t="str">
        <f t="shared" si="453"/>
        <v>0.0105011104787286-0.0260475836095322i</v>
      </c>
      <c r="BG481" s="20">
        <f t="shared" si="454"/>
        <v>-31.030606645385227</v>
      </c>
      <c r="BH481" s="43">
        <f t="shared" si="455"/>
        <v>-68.043120669966498</v>
      </c>
      <c r="BI481" s="41" t="str">
        <f t="shared" si="409"/>
        <v>0.110202719390253+0.0865472418825736i</v>
      </c>
      <c r="BJ481" s="20">
        <f t="shared" si="456"/>
        <v>-17.069676691206503</v>
      </c>
      <c r="BK481" s="43">
        <f t="shared" si="410"/>
        <v>38.144170053911651</v>
      </c>
      <c r="BL481">
        <f t="shared" si="457"/>
        <v>-31.030606645385227</v>
      </c>
      <c r="BM481" s="43">
        <f t="shared" si="458"/>
        <v>-68.043120669966498</v>
      </c>
    </row>
    <row r="482" spans="14:65" x14ac:dyDescent="0.25">
      <c r="N482" s="9">
        <v>64</v>
      </c>
      <c r="O482" s="34">
        <f t="shared" si="408"/>
        <v>436515.83224016649</v>
      </c>
      <c r="P482" s="33" t="str">
        <f t="shared" si="411"/>
        <v>19.6196196196196</v>
      </c>
      <c r="Q482" s="4" t="str">
        <f t="shared" si="412"/>
        <v>1+663.892277915981i</v>
      </c>
      <c r="R482" s="4">
        <f t="shared" si="424"/>
        <v>663.89303104978455</v>
      </c>
      <c r="S482" s="4">
        <f t="shared" si="425"/>
        <v>1.5692900594726458</v>
      </c>
      <c r="T482" s="4" t="str">
        <f t="shared" si="413"/>
        <v>1+10.3125890866949i</v>
      </c>
      <c r="U482" s="4">
        <f t="shared" si="426"/>
        <v>10.360960074771967</v>
      </c>
      <c r="V482" s="4">
        <f t="shared" si="427"/>
        <v>1.4741296956555843</v>
      </c>
      <c r="W482" t="str">
        <f t="shared" si="414"/>
        <v>1-5.99967782636836i</v>
      </c>
      <c r="X482" s="4">
        <f t="shared" si="428"/>
        <v>6.0824447404161557</v>
      </c>
      <c r="Y482" s="4">
        <f t="shared" si="429"/>
        <v>-1.405638941529884</v>
      </c>
      <c r="Z482" t="str">
        <f t="shared" si="415"/>
        <v>0.809453928203676+4.01611087152821i</v>
      </c>
      <c r="AA482" s="4">
        <f t="shared" si="430"/>
        <v>4.0968722452978001</v>
      </c>
      <c r="AB482" s="4">
        <f t="shared" si="431"/>
        <v>1.3719092047609849</v>
      </c>
      <c r="AC482" s="47" t="str">
        <f t="shared" si="432"/>
        <v>-0.438253971538476-0.12076402880006i</v>
      </c>
      <c r="AD482" s="20">
        <f t="shared" si="433"/>
        <v>-6.8476355173086576</v>
      </c>
      <c r="AE482" s="43">
        <f t="shared" si="434"/>
        <v>-164.59407340049921</v>
      </c>
      <c r="AF482" t="str">
        <f t="shared" si="416"/>
        <v>72.2956529813786</v>
      </c>
      <c r="AG482" t="str">
        <f t="shared" si="417"/>
        <v>1+541.410927051481i</v>
      </c>
      <c r="AH482">
        <f t="shared" si="435"/>
        <v>541.41185056363906</v>
      </c>
      <c r="AI482">
        <f t="shared" si="436"/>
        <v>1.5689493030041504</v>
      </c>
      <c r="AJ482" t="str">
        <f t="shared" si="418"/>
        <v>1+10.3125890866949i</v>
      </c>
      <c r="AK482">
        <f t="shared" si="437"/>
        <v>10.360960074771967</v>
      </c>
      <c r="AL482">
        <f t="shared" si="438"/>
        <v>1.4741296956555843</v>
      </c>
      <c r="AM482" t="str">
        <f t="shared" si="419"/>
        <v>1-1.3278087030934i</v>
      </c>
      <c r="AN482">
        <f t="shared" si="439"/>
        <v>1.6622502675621913</v>
      </c>
      <c r="AO482">
        <f t="shared" si="440"/>
        <v>-0.92530106561337344</v>
      </c>
      <c r="AP482" s="41" t="str">
        <f t="shared" si="441"/>
        <v>1.20337494826933-1.95978160627155i</v>
      </c>
      <c r="AQ482">
        <f t="shared" si="442"/>
        <v>7.2336167778019647</v>
      </c>
      <c r="AR482" s="43">
        <f t="shared" si="443"/>
        <v>-58.448609154764249</v>
      </c>
      <c r="AS482" t="str">
        <f t="shared" si="420"/>
        <v>-0.0000166666666666667</v>
      </c>
      <c r="AT482" t="str">
        <f t="shared" si="421"/>
        <v>0.00932521353584112i</v>
      </c>
      <c r="AU482">
        <f t="shared" si="444"/>
        <v>9.3252135358411203E-3</v>
      </c>
      <c r="AV482">
        <f t="shared" si="445"/>
        <v>1.5707963267948966</v>
      </c>
      <c r="AW482" t="str">
        <f t="shared" si="422"/>
        <v>1+9.317146742125i</v>
      </c>
      <c r="AX482">
        <f t="shared" si="446"/>
        <v>9.3706575764078845</v>
      </c>
      <c r="AY482">
        <f t="shared" si="447"/>
        <v>1.4638766320407928</v>
      </c>
      <c r="AZ482" t="str">
        <f t="shared" si="423"/>
        <v>1+316.782989232249i</v>
      </c>
      <c r="BA482">
        <f t="shared" si="448"/>
        <v>316.78456759589659</v>
      </c>
      <c r="BB482">
        <f t="shared" si="449"/>
        <v>1.5676396021210608</v>
      </c>
      <c r="BC482" s="41" t="str">
        <f t="shared" si="450"/>
        <v>-0.00625816059049505+0.0600954697285403i</v>
      </c>
      <c r="BD482">
        <f t="shared" si="451"/>
        <v>-24.376321749479711</v>
      </c>
      <c r="BE482" s="43">
        <f t="shared" si="452"/>
        <v>95.945180255341597</v>
      </c>
      <c r="BF482" s="41" t="str">
        <f t="shared" si="453"/>
        <v>0.0100000347703606-0.0255813175942171i</v>
      </c>
      <c r="BG482" s="20">
        <f t="shared" si="454"/>
        <v>-31.223957266788371</v>
      </c>
      <c r="BH482" s="43">
        <f t="shared" si="455"/>
        <v>-68.648893145157629</v>
      </c>
      <c r="BI482" s="41" t="str">
        <f t="shared" si="409"/>
        <v>0.110243082517394+0.084582010790149i</v>
      </c>
      <c r="BJ482" s="20">
        <f t="shared" si="456"/>
        <v>-17.142704971677741</v>
      </c>
      <c r="BK482" s="43">
        <f t="shared" si="410"/>
        <v>37.496571100577334</v>
      </c>
      <c r="BL482">
        <f t="shared" si="457"/>
        <v>-31.223957266788371</v>
      </c>
      <c r="BM482" s="43">
        <f t="shared" si="458"/>
        <v>-68.648893145157629</v>
      </c>
    </row>
    <row r="483" spans="14:65" x14ac:dyDescent="0.25">
      <c r="N483" s="9">
        <v>65</v>
      </c>
      <c r="O483" s="34">
        <f t="shared" si="408"/>
        <v>446683.59215096442</v>
      </c>
      <c r="P483" s="33" t="str">
        <f t="shared" si="411"/>
        <v>19.6196196196196</v>
      </c>
      <c r="Q483" s="4" t="str">
        <f t="shared" si="412"/>
        <v>1+679.356315620732i</v>
      </c>
      <c r="R483" s="4">
        <f t="shared" si="424"/>
        <v>679.35705161113594</v>
      </c>
      <c r="S483" s="4">
        <f t="shared" si="425"/>
        <v>1.5693243462527802</v>
      </c>
      <c r="T483" s="4" t="str">
        <f t="shared" si="413"/>
        <v>1+10.5528001446859i</v>
      </c>
      <c r="U483" s="4">
        <f t="shared" si="426"/>
        <v>10.60007504188922</v>
      </c>
      <c r="V483" s="4">
        <f t="shared" si="427"/>
        <v>1.4763168750328475</v>
      </c>
      <c r="W483" t="str">
        <f t="shared" si="414"/>
        <v>1-6.139428275665i</v>
      </c>
      <c r="X483" s="4">
        <f t="shared" si="428"/>
        <v>6.2203359677781798</v>
      </c>
      <c r="Y483" s="4">
        <f t="shared" si="429"/>
        <v>-1.4093326463509572</v>
      </c>
      <c r="Z483" t="str">
        <f t="shared" si="415"/>
        <v>0.800473768503111+4.10965811105738i</v>
      </c>
      <c r="AA483" s="4">
        <f t="shared" si="430"/>
        <v>4.1868900205094102</v>
      </c>
      <c r="AB483" s="4">
        <f t="shared" si="431"/>
        <v>1.3784262739809494</v>
      </c>
      <c r="AC483" s="47" t="str">
        <f t="shared" si="432"/>
        <v>-0.439420712021024-0.117284231504532i</v>
      </c>
      <c r="AD483" s="20">
        <f t="shared" si="433"/>
        <v>-6.8435255162355402</v>
      </c>
      <c r="AE483" s="43">
        <f t="shared" si="434"/>
        <v>-165.05575599905205</v>
      </c>
      <c r="AF483" t="str">
        <f t="shared" si="416"/>
        <v>72.2956529813786</v>
      </c>
      <c r="AG483" t="str">
        <f t="shared" si="417"/>
        <v>1+554.022007596009i</v>
      </c>
      <c r="AH483">
        <f t="shared" si="435"/>
        <v>554.02291008649831</v>
      </c>
      <c r="AI483">
        <f t="shared" si="436"/>
        <v>1.568991346306208</v>
      </c>
      <c r="AJ483" t="str">
        <f t="shared" si="418"/>
        <v>1+10.5528001446859i</v>
      </c>
      <c r="AK483">
        <f t="shared" si="437"/>
        <v>10.60007504188922</v>
      </c>
      <c r="AL483">
        <f t="shared" si="438"/>
        <v>1.4763168750328475</v>
      </c>
      <c r="AM483" t="str">
        <f t="shared" si="419"/>
        <v>1-1.35873734096488i</v>
      </c>
      <c r="AN483">
        <f t="shared" si="439"/>
        <v>1.6870587309670972</v>
      </c>
      <c r="AO483">
        <f t="shared" si="440"/>
        <v>-0.93633023953235639</v>
      </c>
      <c r="AP483" s="41" t="str">
        <f t="shared" si="441"/>
        <v>1.20336403258312-1.99938325371206i</v>
      </c>
      <c r="AQ483">
        <f t="shared" si="442"/>
        <v>7.3604720423426304</v>
      </c>
      <c r="AR483" s="43">
        <f t="shared" si="443"/>
        <v>-58.957627028247337</v>
      </c>
      <c r="AS483" t="str">
        <f t="shared" si="420"/>
        <v>-0.0000166666666666667</v>
      </c>
      <c r="AT483" t="str">
        <f t="shared" si="421"/>
        <v>0.00954242566274787i</v>
      </c>
      <c r="AU483">
        <f t="shared" si="444"/>
        <v>9.5424256627478707E-3</v>
      </c>
      <c r="AV483">
        <f t="shared" si="445"/>
        <v>1.5707963267948966</v>
      </c>
      <c r="AW483" t="str">
        <f t="shared" si="422"/>
        <v>1+9.534170969268i</v>
      </c>
      <c r="AX483">
        <f t="shared" si="446"/>
        <v>9.5864704699504877</v>
      </c>
      <c r="AY483">
        <f t="shared" si="447"/>
        <v>1.4662925369361708</v>
      </c>
      <c r="AZ483" t="str">
        <f t="shared" si="423"/>
        <v>1+324.161812955112i</v>
      </c>
      <c r="BA483">
        <f t="shared" si="448"/>
        <v>324.16335539098958</v>
      </c>
      <c r="BB483">
        <f t="shared" si="449"/>
        <v>1.5677114574861328</v>
      </c>
      <c r="BC483" s="41" t="str">
        <f t="shared" si="450"/>
        <v>-0.00597956184471841+0.0587567509067366i</v>
      </c>
      <c r="BD483">
        <f t="shared" si="451"/>
        <v>-24.574097110822951</v>
      </c>
      <c r="BE483" s="43">
        <f t="shared" si="452"/>
        <v>95.810876110285434</v>
      </c>
      <c r="BF483" s="41" t="str">
        <f t="shared" si="453"/>
        <v>0.00951878369917973-0.0251176250037885i</v>
      </c>
      <c r="BG483" s="20">
        <f t="shared" si="454"/>
        <v>-31.417622627058499</v>
      </c>
      <c r="BH483" s="43">
        <f t="shared" si="455"/>
        <v>-69.244879888766562</v>
      </c>
      <c r="BI483" s="41" t="str">
        <f t="shared" si="409"/>
        <v>0.11028167415092+0.082661196529478i</v>
      </c>
      <c r="BJ483" s="20">
        <f t="shared" si="456"/>
        <v>-17.213625068480304</v>
      </c>
      <c r="BK483" s="43">
        <f t="shared" si="410"/>
        <v>36.853249082037976</v>
      </c>
      <c r="BL483">
        <f t="shared" si="457"/>
        <v>-31.417622627058499</v>
      </c>
      <c r="BM483" s="43">
        <f t="shared" si="458"/>
        <v>-69.244879888766562</v>
      </c>
    </row>
    <row r="484" spans="14:65" x14ac:dyDescent="0.25">
      <c r="N484" s="9">
        <v>66</v>
      </c>
      <c r="O484" s="34">
        <f t="shared" ref="O484:O518" si="459">10^(5+(N484/100))</f>
        <v>457088.18961487547</v>
      </c>
      <c r="P484" s="33" t="str">
        <f t="shared" si="411"/>
        <v>19.6196196196196</v>
      </c>
      <c r="Q484" s="4" t="str">
        <f t="shared" si="412"/>
        <v>1+695.180557036365i</v>
      </c>
      <c r="R484" s="4">
        <f t="shared" si="424"/>
        <v>695.18127627359968</v>
      </c>
      <c r="S484" s="4">
        <f t="shared" si="425"/>
        <v>1.5693578525738583</v>
      </c>
      <c r="T484" s="4" t="str">
        <f t="shared" si="413"/>
        <v>1+10.7986064369963i</v>
      </c>
      <c r="U484" s="4">
        <f t="shared" si="426"/>
        <v>10.844809863761464</v>
      </c>
      <c r="V484" s="4">
        <f t="shared" si="427"/>
        <v>1.4784551445512746</v>
      </c>
      <c r="W484" t="str">
        <f t="shared" si="414"/>
        <v>1-6.28243393109828i</v>
      </c>
      <c r="X484" s="4">
        <f t="shared" si="428"/>
        <v>6.361523095817148</v>
      </c>
      <c r="Y484" s="4">
        <f t="shared" si="429"/>
        <v>-1.4129465719538328</v>
      </c>
      <c r="Z484" t="str">
        <f t="shared" si="415"/>
        <v>0.791070386914596+4.20538434571477i</v>
      </c>
      <c r="AA484" s="4">
        <f t="shared" si="430"/>
        <v>4.2791412517275065</v>
      </c>
      <c r="AB484" s="4">
        <f t="shared" si="431"/>
        <v>1.3848601837931662</v>
      </c>
      <c r="AC484" s="47" t="str">
        <f t="shared" si="432"/>
        <v>-0.440536419045543-0.113841379413118i</v>
      </c>
      <c r="AD484" s="20">
        <f t="shared" si="433"/>
        <v>-6.8396211090729082</v>
      </c>
      <c r="AE484" s="43">
        <f t="shared" si="434"/>
        <v>-165.51086051349625</v>
      </c>
      <c r="AF484" t="str">
        <f t="shared" si="416"/>
        <v>72.2956529813786</v>
      </c>
      <c r="AG484" t="str">
        <f t="shared" si="417"/>
        <v>1+566.926837942309i</v>
      </c>
      <c r="AH484">
        <f t="shared" si="435"/>
        <v>566.92771988963909</v>
      </c>
      <c r="AI484">
        <f t="shared" si="436"/>
        <v>1.5690324325920366</v>
      </c>
      <c r="AJ484" t="str">
        <f t="shared" si="418"/>
        <v>1+10.7986064369963i</v>
      </c>
      <c r="AK484">
        <f t="shared" si="437"/>
        <v>10.844809863761464</v>
      </c>
      <c r="AL484">
        <f t="shared" si="438"/>
        <v>1.4784551445512746</v>
      </c>
      <c r="AM484" t="str">
        <f t="shared" si="419"/>
        <v>1-1.39038639935954i</v>
      </c>
      <c r="AN484">
        <f t="shared" si="439"/>
        <v>1.7126512603341015</v>
      </c>
      <c r="AO484">
        <f t="shared" si="440"/>
        <v>-0.94728417904638773</v>
      </c>
      <c r="AP484" s="41" t="str">
        <f t="shared" si="441"/>
        <v>1.20335360818058-2.04004499884462i</v>
      </c>
      <c r="AQ484">
        <f t="shared" si="442"/>
        <v>7.4895074602318683</v>
      </c>
      <c r="AR484" s="43">
        <f t="shared" si="443"/>
        <v>-59.46508178334944</v>
      </c>
      <c r="AS484" t="str">
        <f t="shared" si="420"/>
        <v>-0.0000166666666666667</v>
      </c>
      <c r="AT484" t="str">
        <f t="shared" si="421"/>
        <v>0.00976469731004991i</v>
      </c>
      <c r="AU484">
        <f t="shared" si="444"/>
        <v>9.7646973100499104E-3</v>
      </c>
      <c r="AV484">
        <f t="shared" si="445"/>
        <v>1.5707963267948966</v>
      </c>
      <c r="AW484" t="str">
        <f t="shared" si="422"/>
        <v>1+9.75625034005852i</v>
      </c>
      <c r="AX484">
        <f t="shared" si="446"/>
        <v>9.8073656349649756</v>
      </c>
      <c r="AY484">
        <f t="shared" si="447"/>
        <v>1.468654632785789</v>
      </c>
      <c r="AZ484" t="str">
        <f t="shared" si="423"/>
        <v>1+331.712511561989i</v>
      </c>
      <c r="BA484">
        <f t="shared" si="448"/>
        <v>331.71401888790092</v>
      </c>
      <c r="BB484">
        <f t="shared" si="449"/>
        <v>1.5677816772541884</v>
      </c>
      <c r="BC484" s="41" t="str">
        <f t="shared" si="450"/>
        <v>-0.00571323523566568+0.0574465820184365i</v>
      </c>
      <c r="BD484">
        <f t="shared" si="451"/>
        <v>-24.771971531231188</v>
      </c>
      <c r="BE484" s="43">
        <f t="shared" si="452"/>
        <v>95.679561283644901</v>
      </c>
      <c r="BF484" s="41" t="str">
        <f t="shared" si="453"/>
        <v>0.00905668633143261-0.0246569089486683i</v>
      </c>
      <c r="BG484" s="20">
        <f t="shared" si="454"/>
        <v>-31.611592640304092</v>
      </c>
      <c r="BH484" s="43">
        <f t="shared" si="455"/>
        <v>-69.831299229851368</v>
      </c>
      <c r="BI484" s="41" t="str">
        <f t="shared" si="409"/>
        <v>0.110318570112206+0.0807838087192698i</v>
      </c>
      <c r="BJ484" s="20">
        <f t="shared" si="456"/>
        <v>-17.282464070999318</v>
      </c>
      <c r="BK484" s="43">
        <f t="shared" si="410"/>
        <v>36.214479500295447</v>
      </c>
      <c r="BL484">
        <f t="shared" si="457"/>
        <v>-31.611592640304092</v>
      </c>
      <c r="BM484" s="43">
        <f t="shared" si="458"/>
        <v>-69.831299229851368</v>
      </c>
    </row>
    <row r="485" spans="14:65" x14ac:dyDescent="0.25">
      <c r="N485" s="9">
        <v>67</v>
      </c>
      <c r="O485" s="34">
        <f t="shared" si="459"/>
        <v>467735.14128719864</v>
      </c>
      <c r="P485" s="33" t="str">
        <f t="shared" si="411"/>
        <v>19.6196196196196</v>
      </c>
      <c r="Q485" s="4" t="str">
        <f t="shared" si="412"/>
        <v>1+711.373392385143i</v>
      </c>
      <c r="R485" s="4">
        <f t="shared" si="424"/>
        <v>711.37409525055557</v>
      </c>
      <c r="S485" s="4">
        <f t="shared" si="425"/>
        <v>1.5693905962010741</v>
      </c>
      <c r="T485" s="4" t="str">
        <f t="shared" si="413"/>
        <v>1+11.0501382933762i</v>
      </c>
      <c r="U485" s="4">
        <f t="shared" si="426"/>
        <v>11.095294331505544</v>
      </c>
      <c r="V485" s="4">
        <f t="shared" si="427"/>
        <v>1.4805455596938188</v>
      </c>
      <c r="W485" t="str">
        <f t="shared" si="414"/>
        <v>1-6.4287706161597i</v>
      </c>
      <c r="X485" s="4">
        <f t="shared" si="428"/>
        <v>6.5060811273145358</v>
      </c>
      <c r="Y485" s="4">
        <f t="shared" si="429"/>
        <v>-1.4164822567012569</v>
      </c>
      <c r="Z485" t="str">
        <f t="shared" si="415"/>
        <v>0.781223837605045+4.3033403308171i</v>
      </c>
      <c r="AA485" s="4">
        <f t="shared" si="430"/>
        <v>4.3736767927316462</v>
      </c>
      <c r="AB485" s="4">
        <f t="shared" si="431"/>
        <v>1.3912131473758536</v>
      </c>
      <c r="AC485" s="47" t="str">
        <f t="shared" si="432"/>
        <v>-0.441602675875378-0.110435179415599i</v>
      </c>
      <c r="AD485" s="20">
        <f t="shared" si="433"/>
        <v>-6.8359169498671584</v>
      </c>
      <c r="AE485" s="43">
        <f t="shared" si="434"/>
        <v>-165.9595424344482</v>
      </c>
      <c r="AF485" t="str">
        <f t="shared" si="416"/>
        <v>72.2956529813786</v>
      </c>
      <c r="AG485" t="str">
        <f t="shared" si="417"/>
        <v>1+580.132260402251i</v>
      </c>
      <c r="AH485">
        <f t="shared" si="435"/>
        <v>580.1331222740389</v>
      </c>
      <c r="AI485">
        <f t="shared" si="436"/>
        <v>1.5690725836455737</v>
      </c>
      <c r="AJ485" t="str">
        <f t="shared" si="418"/>
        <v>1+11.0501382933762i</v>
      </c>
      <c r="AK485">
        <f t="shared" si="437"/>
        <v>11.095294331505544</v>
      </c>
      <c r="AL485">
        <f t="shared" si="438"/>
        <v>1.4805455596938188</v>
      </c>
      <c r="AM485" t="str">
        <f t="shared" si="419"/>
        <v>1-1.42277265902709i</v>
      </c>
      <c r="AN485">
        <f t="shared" si="439"/>
        <v>1.7390463016478359</v>
      </c>
      <c r="AO485">
        <f t="shared" si="440"/>
        <v>-0.95815817754857335</v>
      </c>
      <c r="AP485" s="41" t="str">
        <f t="shared" si="441"/>
        <v>1.2033436529506-2.0817884011832i</v>
      </c>
      <c r="AQ485">
        <f t="shared" si="442"/>
        <v>7.6206899082032589</v>
      </c>
      <c r="AR485" s="43">
        <f t="shared" si="443"/>
        <v>-59.970644524768929</v>
      </c>
      <c r="AS485" t="str">
        <f t="shared" si="420"/>
        <v>-0.0000166666666666667</v>
      </c>
      <c r="AT485" t="str">
        <f t="shared" si="421"/>
        <v>0.0099921463291168i</v>
      </c>
      <c r="AU485">
        <f t="shared" si="444"/>
        <v>9.9921463291168001E-3</v>
      </c>
      <c r="AV485">
        <f t="shared" si="445"/>
        <v>1.5707963267948966</v>
      </c>
      <c r="AW485" t="str">
        <f t="shared" si="422"/>
        <v>1+9.9835026039186i</v>
      </c>
      <c r="AX485">
        <f t="shared" si="446"/>
        <v>10.033460232763645</v>
      </c>
      <c r="AY485">
        <f t="shared" si="447"/>
        <v>1.4709640665120551</v>
      </c>
      <c r="AZ485" t="str">
        <f t="shared" si="423"/>
        <v>1+339.439088533232i</v>
      </c>
      <c r="BA485">
        <f t="shared" si="448"/>
        <v>339.44056154836784</v>
      </c>
      <c r="BB485">
        <f t="shared" si="449"/>
        <v>1.5678502986539062</v>
      </c>
      <c r="BC485" s="41" t="str">
        <f t="shared" si="450"/>
        <v>-0.00545865154988316+0.0561644386027671i</v>
      </c>
      <c r="BD485">
        <f t="shared" si="451"/>
        <v>-24.969940645169562</v>
      </c>
      <c r="BE485" s="43">
        <f t="shared" si="452"/>
        <v>95.551172194652793</v>
      </c>
      <c r="BF485" s="41" t="str">
        <f t="shared" si="453"/>
        <v>0.00861308498497266-0.0241995392127417i</v>
      </c>
      <c r="BG485" s="20">
        <f t="shared" si="454"/>
        <v>-31.805857595036731</v>
      </c>
      <c r="BH485" s="43">
        <f t="shared" si="455"/>
        <v>-70.408370239795346</v>
      </c>
      <c r="BI485" s="41" t="str">
        <f t="shared" si="409"/>
        <v>0.110353843145986+0.0789488781968209i</v>
      </c>
      <c r="BJ485" s="20">
        <f t="shared" si="456"/>
        <v>-17.349250736966283</v>
      </c>
      <c r="BK485" s="43">
        <f t="shared" si="410"/>
        <v>35.580527669883786</v>
      </c>
      <c r="BL485">
        <f t="shared" si="457"/>
        <v>-31.805857595036731</v>
      </c>
      <c r="BM485" s="43">
        <f t="shared" si="458"/>
        <v>-70.408370239795346</v>
      </c>
    </row>
    <row r="486" spans="14:65" x14ac:dyDescent="0.25">
      <c r="N486" s="9">
        <v>68</v>
      </c>
      <c r="O486" s="34">
        <f t="shared" si="459"/>
        <v>478630.09232263872</v>
      </c>
      <c r="P486" s="33" t="str">
        <f t="shared" si="411"/>
        <v>19.6196196196196</v>
      </c>
      <c r="Q486" s="4" t="str">
        <f t="shared" si="412"/>
        <v>1+727.943407322704i</v>
      </c>
      <c r="R486" s="4">
        <f t="shared" si="424"/>
        <v>727.94409418896191</v>
      </c>
      <c r="S486" s="4">
        <f t="shared" si="425"/>
        <v>1.5694225944952513</v>
      </c>
      <c r="T486" s="4" t="str">
        <f t="shared" si="413"/>
        <v>1+11.3075290793451i</v>
      </c>
      <c r="U486" s="4">
        <f t="shared" si="426"/>
        <v>11.351661282835876</v>
      </c>
      <c r="V486" s="4">
        <f t="shared" si="427"/>
        <v>1.4825891557077095</v>
      </c>
      <c r="W486" t="str">
        <f t="shared" si="414"/>
        <v>1-6.57851592049665i</v>
      </c>
      <c r="X486" s="4">
        <f t="shared" si="428"/>
        <v>6.6540868431534532</v>
      </c>
      <c r="Y486" s="4">
        <f t="shared" si="429"/>
        <v>-1.4199412214804152</v>
      </c>
      <c r="Z486" t="str">
        <f t="shared" si="415"/>
        <v>0.770913234723223+4.40357800392428i</v>
      </c>
      <c r="AA486" s="4">
        <f t="shared" si="430"/>
        <v>4.4705487864597977</v>
      </c>
      <c r="AB486" s="4">
        <f t="shared" si="431"/>
        <v>1.3974874049042718</v>
      </c>
      <c r="AC486" s="47" t="str">
        <f t="shared" si="432"/>
        <v>-0.442621022845466-0.107065276256291i</v>
      </c>
      <c r="AD486" s="20">
        <f t="shared" si="433"/>
        <v>-6.832407878906479</v>
      </c>
      <c r="AE486" s="43">
        <f t="shared" si="434"/>
        <v>-166.40195893431712</v>
      </c>
      <c r="AF486" t="str">
        <f t="shared" si="416"/>
        <v>72.2956529813786</v>
      </c>
      <c r="AG486" t="str">
        <f t="shared" si="417"/>
        <v>1+593.645276665617i</v>
      </c>
      <c r="AH486">
        <f t="shared" si="435"/>
        <v>593.64611891883612</v>
      </c>
      <c r="AI486">
        <f t="shared" si="436"/>
        <v>1.5691118207549208</v>
      </c>
      <c r="AJ486" t="str">
        <f t="shared" si="418"/>
        <v>1+11.3075290793451i</v>
      </c>
      <c r="AK486">
        <f t="shared" si="437"/>
        <v>11.351661282835876</v>
      </c>
      <c r="AL486">
        <f t="shared" si="438"/>
        <v>1.4825891557077095</v>
      </c>
      <c r="AM486" t="str">
        <f t="shared" si="419"/>
        <v>1-1.45591329159108i</v>
      </c>
      <c r="AN486">
        <f t="shared" si="439"/>
        <v>1.7662625831488286</v>
      </c>
      <c r="AO486">
        <f t="shared" si="440"/>
        <v>-0.96894771448332484</v>
      </c>
      <c r="AP486" s="41" t="str">
        <f t="shared" si="441"/>
        <v>1.20333414577718-2.12463559374275i</v>
      </c>
      <c r="AQ486">
        <f t="shared" si="442"/>
        <v>7.7539848916749063</v>
      </c>
      <c r="AR486" s="43">
        <f t="shared" si="443"/>
        <v>-60.473998148171013</v>
      </c>
      <c r="AS486" t="str">
        <f t="shared" si="420"/>
        <v>-0.0000166666666666667</v>
      </c>
      <c r="AT486" t="str">
        <f t="shared" si="421"/>
        <v>0.0102248933164291i</v>
      </c>
      <c r="AU486">
        <f t="shared" si="444"/>
        <v>1.02248933164291E-2</v>
      </c>
      <c r="AV486">
        <f t="shared" si="445"/>
        <v>1.5707963267948966</v>
      </c>
      <c r="AW486" t="str">
        <f t="shared" si="422"/>
        <v>1+10.2160482530066i</v>
      </c>
      <c r="AX486">
        <f t="shared" si="446"/>
        <v>10.26487417885671</v>
      </c>
      <c r="AY486">
        <f t="shared" si="447"/>
        <v>1.4732219640146949</v>
      </c>
      <c r="AZ486" t="str">
        <f t="shared" si="423"/>
        <v>1+347.345640602223i</v>
      </c>
      <c r="BA486">
        <f t="shared" si="448"/>
        <v>347.34708008758139</v>
      </c>
      <c r="BB486">
        <f t="shared" si="449"/>
        <v>1.5679173580666743</v>
      </c>
      <c r="BC486" s="41" t="str">
        <f t="shared" si="450"/>
        <v>-0.00521530340343343+0.0549098000804481i</v>
      </c>
      <c r="BD486">
        <f t="shared" si="451"/>
        <v>-25.168000275536002</v>
      </c>
      <c r="BE486" s="43">
        <f t="shared" si="452"/>
        <v>95.425646418506687</v>
      </c>
      <c r="BF486" s="41" t="str">
        <f t="shared" si="453"/>
        <v>0.00818733584166803-0.023745853976199i</v>
      </c>
      <c r="BG486" s="20">
        <f t="shared" si="454"/>
        <v>-32.000408154442482</v>
      </c>
      <c r="BH486" s="43">
        <f t="shared" si="455"/>
        <v>-70.976312515810449</v>
      </c>
      <c r="BI486" s="41" t="str">
        <f t="shared" si="409"/>
        <v>0.110387563030279+0.0771554566177041i</v>
      </c>
      <c r="BJ486" s="20">
        <f t="shared" si="456"/>
        <v>-17.414015383861109</v>
      </c>
      <c r="BK486" s="43">
        <f t="shared" si="410"/>
        <v>34.951648270335724</v>
      </c>
      <c r="BL486">
        <f t="shared" si="457"/>
        <v>-32.000408154442482</v>
      </c>
      <c r="BM486" s="43">
        <f t="shared" si="458"/>
        <v>-70.976312515810449</v>
      </c>
    </row>
    <row r="487" spans="14:65" x14ac:dyDescent="0.25">
      <c r="N487" s="9">
        <v>69</v>
      </c>
      <c r="O487" s="34">
        <f t="shared" si="459"/>
        <v>489778.81936844654</v>
      </c>
      <c r="P487" s="33" t="str">
        <f t="shared" si="411"/>
        <v>19.6196196196196</v>
      </c>
      <c r="Q487" s="4" t="str">
        <f t="shared" si="412"/>
        <v>1+744.899387490299i</v>
      </c>
      <c r="R487" s="4">
        <f t="shared" si="424"/>
        <v>744.90005872158622</v>
      </c>
      <c r="S487" s="4">
        <f t="shared" si="425"/>
        <v>1.5694538644220464</v>
      </c>
      <c r="T487" s="4" t="str">
        <f t="shared" si="413"/>
        <v>1+11.5709152669047i</v>
      </c>
      <c r="U487" s="4">
        <f t="shared" si="426"/>
        <v>11.614046672623985</v>
      </c>
      <c r="V487" s="4">
        <f t="shared" si="427"/>
        <v>1.484586947819696</v>
      </c>
      <c r="W487" t="str">
        <f t="shared" si="414"/>
        <v>1-6.73174924105161i</v>
      </c>
      <c r="X487" s="4">
        <f t="shared" si="428"/>
        <v>6.8056188436026099</v>
      </c>
      <c r="Y487" s="4">
        <f t="shared" si="429"/>
        <v>-1.4233249690332983</v>
      </c>
      <c r="Z487" t="str">
        <f t="shared" si="415"/>
        <v>0.760116708098051+4.5061505123774i</v>
      </c>
      <c r="AA487" s="4">
        <f t="shared" si="430"/>
        <v>4.569810701782834</v>
      </c>
      <c r="AB487" s="4">
        <f t="shared" si="431"/>
        <v>1.4036852207957662</v>
      </c>
      <c r="AC487" s="47" t="str">
        <f t="shared" si="432"/>
        <v>-0.443592956065698-0.103731256181803i</v>
      </c>
      <c r="AD487" s="20">
        <f t="shared" si="433"/>
        <v>-6.8290889300678845</v>
      </c>
      <c r="AE487" s="43">
        <f t="shared" si="434"/>
        <v>-166.83826865928646</v>
      </c>
      <c r="AF487" t="str">
        <f t="shared" si="416"/>
        <v>72.2956529813786</v>
      </c>
      <c r="AG487" t="str">
        <f t="shared" si="417"/>
        <v>1+607.473051512496i</v>
      </c>
      <c r="AH487">
        <f t="shared" si="435"/>
        <v>607.47387459371748</v>
      </c>
      <c r="AI487">
        <f t="shared" si="436"/>
        <v>1.5691501647236297</v>
      </c>
      <c r="AJ487" t="str">
        <f t="shared" si="418"/>
        <v>1+11.5709152669047i</v>
      </c>
      <c r="AK487">
        <f t="shared" si="437"/>
        <v>11.614046672623985</v>
      </c>
      <c r="AL487">
        <f t="shared" si="438"/>
        <v>1.484586947819696</v>
      </c>
      <c r="AM487" t="str">
        <f t="shared" si="419"/>
        <v>1-1.48982586865356i</v>
      </c>
      <c r="AN487">
        <f t="shared" si="439"/>
        <v>1.794319124043807</v>
      </c>
      <c r="AO487">
        <f t="shared" si="440"/>
        <v>-0.97964846224904367</v>
      </c>
      <c r="AP487" s="41" t="str">
        <f t="shared" si="441"/>
        <v>1.20332506649467-2.16860929477499i</v>
      </c>
      <c r="AQ487">
        <f t="shared" si="442"/>
        <v>7.8893566484832709</v>
      </c>
      <c r="AR487" s="43">
        <f t="shared" si="443"/>
        <v>-60.974837723996089</v>
      </c>
      <c r="AS487" t="str">
        <f t="shared" si="420"/>
        <v>-0.0000166666666666667</v>
      </c>
      <c r="AT487" t="str">
        <f t="shared" si="421"/>
        <v>0.0104630616775202i</v>
      </c>
      <c r="AU487">
        <f t="shared" si="444"/>
        <v>1.0463061677520201E-2</v>
      </c>
      <c r="AV487">
        <f t="shared" si="445"/>
        <v>1.5707963267948966</v>
      </c>
      <c r="AW487" t="str">
        <f t="shared" si="422"/>
        <v>1+10.4540105861037i</v>
      </c>
      <c r="AX487">
        <f t="shared" si="446"/>
        <v>10.501730206702522</v>
      </c>
      <c r="AY487">
        <f t="shared" si="447"/>
        <v>1.4754294303223758</v>
      </c>
      <c r="AZ487" t="str">
        <f t="shared" si="423"/>
        <v>1+355.436359927525i</v>
      </c>
      <c r="BA487">
        <f t="shared" si="448"/>
        <v>355.43776664632742</v>
      </c>
      <c r="BB487">
        <f t="shared" si="449"/>
        <v>1.5679828910458671</v>
      </c>
      <c r="BC487" s="41" t="str">
        <f t="shared" si="450"/>
        <v>-0.00498270442862956+0.0536821501697723i</v>
      </c>
      <c r="BD487">
        <f t="shared" si="451"/>
        <v>-25.366146425873147</v>
      </c>
      <c r="BE487" s="43">
        <f t="shared" si="452"/>
        <v>95.302922678785876</v>
      </c>
      <c r="BF487" s="41" t="str">
        <f t="shared" si="453"/>
        <v>0.0077788094583481-0.0232961614922076i</v>
      </c>
      <c r="BG487" s="20">
        <f t="shared" si="454"/>
        <v>-32.195235355941044</v>
      </c>
      <c r="BH487" s="43">
        <f t="shared" si="455"/>
        <v>-71.535345980500537</v>
      </c>
      <c r="BI487" s="41" t="str">
        <f t="shared" si="409"/>
        <v>0.110419796683771+0.0754026160596607i</v>
      </c>
      <c r="BJ487" s="20">
        <f t="shared" si="456"/>
        <v>-17.476789777389879</v>
      </c>
      <c r="BK487" s="43">
        <f t="shared" si="410"/>
        <v>34.328084954789823</v>
      </c>
      <c r="BL487">
        <f t="shared" si="457"/>
        <v>-32.195235355941044</v>
      </c>
      <c r="BM487" s="43">
        <f t="shared" si="458"/>
        <v>-71.535345980500537</v>
      </c>
    </row>
    <row r="488" spans="14:65" x14ac:dyDescent="0.25">
      <c r="N488" s="9">
        <v>70</v>
      </c>
      <c r="O488" s="34">
        <f t="shared" si="459"/>
        <v>501187.23362727347</v>
      </c>
      <c r="P488" s="33" t="str">
        <f t="shared" si="411"/>
        <v>19.6196196196196</v>
      </c>
      <c r="Q488" s="4" t="str">
        <f t="shared" si="412"/>
        <v>1+762.25032317305i</v>
      </c>
      <c r="R488" s="4">
        <f t="shared" si="424"/>
        <v>762.25097912526098</v>
      </c>
      <c r="S488" s="4">
        <f t="shared" si="425"/>
        <v>1.5694844225609441</v>
      </c>
      <c r="T488" s="4" t="str">
        <f t="shared" si="413"/>
        <v>1+11.840436506898i</v>
      </c>
      <c r="U488" s="4">
        <f t="shared" si="426"/>
        <v>11.8825896451019</v>
      </c>
      <c r="V488" s="4">
        <f t="shared" si="427"/>
        <v>1.4865399314619507</v>
      </c>
      <c r="W488" t="str">
        <f t="shared" si="414"/>
        <v>1-6.88855182415941i</v>
      </c>
      <c r="X488" s="4">
        <f t="shared" si="428"/>
        <v>6.9607575905306405</v>
      </c>
      <c r="Y488" s="4">
        <f t="shared" si="429"/>
        <v>-1.4266349833629024</v>
      </c>
      <c r="Z488" t="str">
        <f t="shared" si="415"/>
        <v>0.748811356849041+4.61111224147813i</v>
      </c>
      <c r="AA488" s="4">
        <f t="shared" si="430"/>
        <v>4.6715173714389175</v>
      </c>
      <c r="AB488" s="4">
        <f t="shared" si="431"/>
        <v>1.4098088811414917</v>
      </c>
      <c r="AC488" s="47" t="str">
        <f t="shared" si="432"/>
        <v>-0.444519926336249-0.10043265047437i</v>
      </c>
      <c r="AD488" s="20">
        <f t="shared" si="433"/>
        <v>-6.8259553372545358</v>
      </c>
      <c r="AE488" s="43">
        <f t="shared" si="434"/>
        <v>-167.26863153571171</v>
      </c>
      <c r="AF488" t="str">
        <f t="shared" si="416"/>
        <v>72.2956529813786</v>
      </c>
      <c r="AG488" t="str">
        <f t="shared" si="417"/>
        <v>1+621.622916612144i</v>
      </c>
      <c r="AH488">
        <f t="shared" si="435"/>
        <v>621.62372095777403</v>
      </c>
      <c r="AI488">
        <f t="shared" si="436"/>
        <v>1.5691876358817285</v>
      </c>
      <c r="AJ488" t="str">
        <f t="shared" si="418"/>
        <v>1+11.840436506898i</v>
      </c>
      <c r="AK488">
        <f t="shared" si="437"/>
        <v>11.8825896451019</v>
      </c>
      <c r="AL488">
        <f t="shared" si="438"/>
        <v>1.4865399314619507</v>
      </c>
      <c r="AM488" t="str">
        <f t="shared" si="419"/>
        <v>1-1.52452837111178i</v>
      </c>
      <c r="AN488">
        <f t="shared" si="439"/>
        <v>1.8232352438247614</v>
      </c>
      <c r="AO488">
        <f t="shared" si="440"/>
        <v>-0.99025629210721722</v>
      </c>
      <c r="AP488" s="41" t="str">
        <f t="shared" si="441"/>
        <v>1.20331639584502-2.21373281981456i</v>
      </c>
      <c r="AQ488">
        <f t="shared" si="442"/>
        <v>8.0267682550620059</v>
      </c>
      <c r="AR488" s="43">
        <f t="shared" si="443"/>
        <v>-61.472870823715603</v>
      </c>
      <c r="AS488" t="str">
        <f t="shared" si="420"/>
        <v>-0.0000166666666666667</v>
      </c>
      <c r="AT488" t="str">
        <f t="shared" si="421"/>
        <v>0.0107067776924077i</v>
      </c>
      <c r="AU488">
        <f t="shared" si="444"/>
        <v>1.07067776924077E-2</v>
      </c>
      <c r="AV488">
        <f t="shared" si="445"/>
        <v>1.5707963267948966</v>
      </c>
      <c r="AW488" t="str">
        <f t="shared" si="422"/>
        <v>1+10.6975157739887i</v>
      </c>
      <c r="AX488">
        <f t="shared" si="446"/>
        <v>10.744153932941257</v>
      </c>
      <c r="AY488">
        <f t="shared" si="447"/>
        <v>1.4775875497613811</v>
      </c>
      <c r="AZ488" t="str">
        <f t="shared" si="423"/>
        <v>1+363.715536315616i</v>
      </c>
      <c r="BA488">
        <f t="shared" si="448"/>
        <v>363.71691101371158</v>
      </c>
      <c r="BB488">
        <f t="shared" si="449"/>
        <v>1.5680469323356847</v>
      </c>
      <c r="BC488" s="41" t="str">
        <f t="shared" si="450"/>
        <v>-0.00476038848321289+0.0524809772629756i</v>
      </c>
      <c r="BD488">
        <f t="shared" si="451"/>
        <v>-25.564375272871594</v>
      </c>
      <c r="BE488" s="43">
        <f t="shared" si="452"/>
        <v>95.182940838866855</v>
      </c>
      <c r="BF488" s="41" t="str">
        <f t="shared" si="453"/>
        <v>0.00738689118389551-0.0228507417143355i</v>
      </c>
      <c r="BG488" s="20">
        <f t="shared" si="454"/>
        <v>-32.390330610126142</v>
      </c>
      <c r="BH488" s="43">
        <f t="shared" si="455"/>
        <v>-72.085690696844821</v>
      </c>
      <c r="BI488" s="41" t="str">
        <f t="shared" si="409"/>
        <v>0.110450608270549+0.0736894486308639i</v>
      </c>
      <c r="BJ488" s="20">
        <f t="shared" si="456"/>
        <v>-17.537607017809584</v>
      </c>
      <c r="BK488" s="43">
        <f t="shared" si="410"/>
        <v>33.71007001515126</v>
      </c>
      <c r="BL488">
        <f t="shared" si="457"/>
        <v>-32.390330610126142</v>
      </c>
      <c r="BM488" s="43">
        <f t="shared" si="458"/>
        <v>-72.085690696844821</v>
      </c>
    </row>
    <row r="489" spans="14:65" x14ac:dyDescent="0.25">
      <c r="N489" s="9">
        <v>71</v>
      </c>
      <c r="O489" s="34">
        <f t="shared" si="459"/>
        <v>512861.38399136515</v>
      </c>
      <c r="P489" s="33" t="str">
        <f t="shared" si="411"/>
        <v>19.6196196196196</v>
      </c>
      <c r="Q489" s="4" t="str">
        <f t="shared" si="412"/>
        <v>1+780.00541406672i</v>
      </c>
      <c r="R489" s="4">
        <f t="shared" si="424"/>
        <v>780.00605508764829</v>
      </c>
      <c r="S489" s="4">
        <f t="shared" si="425"/>
        <v>1.5695142851140456</v>
      </c>
      <c r="T489" s="4" t="str">
        <f t="shared" si="413"/>
        <v>1+12.1162357030539i</v>
      </c>
      <c r="U489" s="4">
        <f t="shared" si="426"/>
        <v>12.157432607748975</v>
      </c>
      <c r="V489" s="4">
        <f t="shared" si="427"/>
        <v>1.488449082507449</v>
      </c>
      <c r="W489" t="str">
        <f t="shared" si="414"/>
        <v>1-7.0490068086251i</v>
      </c>
      <c r="X489" s="4">
        <f t="shared" si="428"/>
        <v>7.1195854505752658</v>
      </c>
      <c r="Y489" s="4">
        <f t="shared" si="429"/>
        <v>-1.4298727292105735</v>
      </c>
      <c r="Z489" t="str">
        <f t="shared" si="415"/>
        <v>0.736973200810464+4.71851884332455i</v>
      </c>
      <c r="AA489" s="4">
        <f t="shared" si="430"/>
        <v>4.7757250311886335</v>
      </c>
      <c r="AB489" s="4">
        <f t="shared" si="431"/>
        <v>1.4158606913187002</v>
      </c>
      <c r="AC489" s="47" t="str">
        <f t="shared" si="432"/>
        <v>-0.445403338256827-0.0971689388655782i</v>
      </c>
      <c r="AD489" s="20">
        <f t="shared" si="433"/>
        <v>-6.8230025400164909</v>
      </c>
      <c r="AE489" s="43">
        <f t="shared" si="434"/>
        <v>-167.69320859038575</v>
      </c>
      <c r="AF489" t="str">
        <f t="shared" si="416"/>
        <v>72.2956529813786</v>
      </c>
      <c r="AG489" t="str">
        <f t="shared" si="417"/>
        <v>1+636.102374410328i</v>
      </c>
      <c r="AH489">
        <f t="shared" si="435"/>
        <v>636.10316044683907</v>
      </c>
      <c r="AI489">
        <f t="shared" si="436"/>
        <v>1.5692242540965</v>
      </c>
      <c r="AJ489" t="str">
        <f t="shared" si="418"/>
        <v>1+12.1162357030539i</v>
      </c>
      <c r="AK489">
        <f t="shared" si="437"/>
        <v>12.157432607748975</v>
      </c>
      <c r="AL489">
        <f t="shared" si="438"/>
        <v>1.488449082507449</v>
      </c>
      <c r="AM489" t="str">
        <f t="shared" si="419"/>
        <v>1-1.56003919869187i</v>
      </c>
      <c r="AN489">
        <f t="shared" si="439"/>
        <v>1.8530305721857836</v>
      </c>
      <c r="AO489">
        <f t="shared" si="440"/>
        <v>-1.0007672790998987</v>
      </c>
      <c r="AP489" s="41" t="str">
        <f t="shared" si="441"/>
        <v>1.20330811543692-2.2600300940415i</v>
      </c>
      <c r="AQ489">
        <f t="shared" si="442"/>
        <v>8.1661817343013077</v>
      </c>
      <c r="AR489" s="43">
        <f t="shared" si="443"/>
        <v>-61.967817788712736</v>
      </c>
      <c r="AS489" t="str">
        <f t="shared" si="420"/>
        <v>-0.0000166666666666667</v>
      </c>
      <c r="AT489" t="str">
        <f t="shared" si="421"/>
        <v>0.0109561705825487i</v>
      </c>
      <c r="AU489">
        <f t="shared" si="444"/>
        <v>1.09561705825487E-2</v>
      </c>
      <c r="AV489">
        <f t="shared" si="445"/>
        <v>1.5707963267948966</v>
      </c>
      <c r="AW489" t="str">
        <f t="shared" si="422"/>
        <v>1+10.9466929263355i</v>
      </c>
      <c r="AX489">
        <f t="shared" si="446"/>
        <v>10.992273924147071</v>
      </c>
      <c r="AY489">
        <f t="shared" si="447"/>
        <v>1.4796973861397054</v>
      </c>
      <c r="AZ489" t="str">
        <f t="shared" si="423"/>
        <v>1+372.187559495405i</v>
      </c>
      <c r="BA489">
        <f t="shared" si="448"/>
        <v>372.18890290166587</v>
      </c>
      <c r="BB489">
        <f t="shared" si="449"/>
        <v>1.5681095158895644</v>
      </c>
      <c r="BC489" s="41" t="str">
        <f t="shared" si="450"/>
        <v>-0.00454790888211804+0.0513057747655418i</v>
      </c>
      <c r="BD489">
        <f t="shared" si="451"/>
        <v>-25.762683159156687</v>
      </c>
      <c r="BE489" s="43">
        <f t="shared" si="452"/>
        <v>95.065641892429952</v>
      </c>
      <c r="BF489" s="41" t="str">
        <f t="shared" si="453"/>
        <v>0.00701098148982731-0.0224098478722924i</v>
      </c>
      <c r="BG489" s="20">
        <f t="shared" si="454"/>
        <v>-32.58568569917319</v>
      </c>
      <c r="BH489" s="43">
        <f t="shared" si="455"/>
        <v>-72.627566697955771</v>
      </c>
      <c r="BI489" s="41" t="str">
        <f t="shared" si="409"/>
        <v>0.110480059302119+0.0720150660827006i</v>
      </c>
      <c r="BJ489" s="20">
        <f t="shared" si="456"/>
        <v>-17.596501424855383</v>
      </c>
      <c r="BK489" s="43">
        <f t="shared" si="410"/>
        <v>33.097824103717258</v>
      </c>
      <c r="BL489">
        <f t="shared" si="457"/>
        <v>-32.58568569917319</v>
      </c>
      <c r="BM489" s="43">
        <f t="shared" si="458"/>
        <v>-72.627566697955771</v>
      </c>
    </row>
    <row r="490" spans="14:65" x14ac:dyDescent="0.25">
      <c r="N490" s="9">
        <v>72</v>
      </c>
      <c r="O490" s="34">
        <f t="shared" si="459"/>
        <v>524807.46024977288</v>
      </c>
      <c r="P490" s="33" t="str">
        <f t="shared" si="411"/>
        <v>19.6196196196196</v>
      </c>
      <c r="Q490" s="4" t="str">
        <f t="shared" si="412"/>
        <v>1+798.174074155524i</v>
      </c>
      <c r="R490" s="4">
        <f t="shared" si="424"/>
        <v>798.17470058504603</v>
      </c>
      <c r="S490" s="4">
        <f t="shared" si="425"/>
        <v>1.5695434679146587</v>
      </c>
      <c r="T490" s="4" t="str">
        <f t="shared" si="413"/>
        <v>1+12.3984590877569i</v>
      </c>
      <c r="U490" s="4">
        <f t="shared" si="426"/>
        <v>12.438721306902154</v>
      </c>
      <c r="V490" s="4">
        <f t="shared" si="427"/>
        <v>1.4903153575137085</v>
      </c>
      <c r="W490" t="str">
        <f t="shared" si="414"/>
        <v>1-7.2131992698054i</v>
      </c>
      <c r="X490" s="4">
        <f t="shared" si="428"/>
        <v>7.2821867392920607</v>
      </c>
      <c r="Y490" s="4">
        <f t="shared" si="429"/>
        <v>-1.4330396515999979</v>
      </c>
      <c r="Z490" t="str">
        <f t="shared" si="415"/>
        <v>0.724577129666184+4.82842726631871i</v>
      </c>
      <c r="AA490" s="4">
        <f t="shared" si="430"/>
        <v>4.882491360255055</v>
      </c>
      <c r="AB490" s="4">
        <f t="shared" si="431"/>
        <v>1.4218429737772253</v>
      </c>
      <c r="AC490" s="47" t="str">
        <f t="shared" si="432"/>
        <v>-0.446244549512458-0.0939395528266632i</v>
      </c>
      <c r="AD490" s="20">
        <f t="shared" si="433"/>
        <v>-6.8202261884436854</v>
      </c>
      <c r="AE490" s="43">
        <f t="shared" si="434"/>
        <v>-168.11216178411399</v>
      </c>
      <c r="AF490" t="str">
        <f t="shared" si="416"/>
        <v>72.2956529813786</v>
      </c>
      <c r="AG490" t="str">
        <f t="shared" si="417"/>
        <v>1+650.919102107239i</v>
      </c>
      <c r="AH490">
        <f t="shared" si="435"/>
        <v>650.91987025139611</v>
      </c>
      <c r="AI490">
        <f t="shared" si="436"/>
        <v>1.5692600387830138</v>
      </c>
      <c r="AJ490" t="str">
        <f t="shared" si="418"/>
        <v>1+12.3984590877569i</v>
      </c>
      <c r="AK490">
        <f t="shared" si="437"/>
        <v>12.438721306902154</v>
      </c>
      <c r="AL490">
        <f t="shared" si="438"/>
        <v>1.4903153575137085</v>
      </c>
      <c r="AM490" t="str">
        <f t="shared" si="419"/>
        <v>1-1.59637717970467i</v>
      </c>
      <c r="AN490">
        <f t="shared" si="439"/>
        <v>1.8837250595248332</v>
      </c>
      <c r="AO490">
        <f t="shared" si="440"/>
        <v>-1.011177705985747</v>
      </c>
      <c r="AP490" s="41" t="str">
        <f t="shared" si="441"/>
        <v>1.20330020770676-2.30752566496727i</v>
      </c>
      <c r="AQ490">
        <f t="shared" si="442"/>
        <v>8.3075581643490555</v>
      </c>
      <c r="AR490" s="43">
        <f t="shared" si="443"/>
        <v>-62.459411942440532</v>
      </c>
      <c r="AS490" t="str">
        <f t="shared" si="420"/>
        <v>-0.0000166666666666667</v>
      </c>
      <c r="AT490" t="str">
        <f t="shared" si="421"/>
        <v>0.0112113725793547i</v>
      </c>
      <c r="AU490">
        <f t="shared" si="444"/>
        <v>1.12113725793547E-2</v>
      </c>
      <c r="AV490">
        <f t="shared" si="445"/>
        <v>1.5707963267948966</v>
      </c>
      <c r="AW490" t="str">
        <f t="shared" si="422"/>
        <v>1+11.2016741601684i</v>
      </c>
      <c r="AX490">
        <f t="shared" si="446"/>
        <v>11.246221765134477</v>
      </c>
      <c r="AY490">
        <f t="shared" si="447"/>
        <v>1.4817599829450654</v>
      </c>
      <c r="AZ490" t="str">
        <f t="shared" si="423"/>
        <v>1+380.856921445725i</v>
      </c>
      <c r="BA490">
        <f t="shared" si="448"/>
        <v>380.85823427243264</v>
      </c>
      <c r="BB490">
        <f t="shared" si="449"/>
        <v>1.5681706748881727</v>
      </c>
      <c r="BC490" s="41" t="str">
        <f t="shared" si="450"/>
        <v>-0.00434483765187363+0.0501560414008611i</v>
      </c>
      <c r="BD490">
        <f t="shared" si="451"/>
        <v>-25.961066586350178</v>
      </c>
      <c r="BE490" s="43">
        <f t="shared" si="452"/>
        <v>94.950967953145167</v>
      </c>
      <c r="BF490" s="41" t="str">
        <f t="shared" si="453"/>
        <v>0.00665049622141761-0.021973707994134i</v>
      </c>
      <c r="BG490" s="20">
        <f t="shared" si="454"/>
        <v>-32.781292774793862</v>
      </c>
      <c r="BH490" s="43">
        <f t="shared" si="455"/>
        <v>-73.161193830968841</v>
      </c>
      <c r="BI490" s="41" t="str">
        <f t="shared" si="409"/>
        <v>0.110508208736696+0.0703785994272196i</v>
      </c>
      <c r="BJ490" s="20">
        <f t="shared" si="456"/>
        <v>-17.653508422001131</v>
      </c>
      <c r="BK490" s="43">
        <f t="shared" si="410"/>
        <v>32.49155601070472</v>
      </c>
      <c r="BL490">
        <f t="shared" si="457"/>
        <v>-32.781292774793862</v>
      </c>
      <c r="BM490" s="43">
        <f t="shared" si="458"/>
        <v>-73.161193830968841</v>
      </c>
    </row>
    <row r="491" spans="14:65" x14ac:dyDescent="0.25">
      <c r="N491" s="9">
        <v>73</v>
      </c>
      <c r="O491" s="34">
        <f t="shared" si="459"/>
        <v>537031.7963702539</v>
      </c>
      <c r="P491" s="33" t="str">
        <f t="shared" si="411"/>
        <v>19.6196196196196</v>
      </c>
      <c r="Q491" s="4" t="str">
        <f t="shared" si="412"/>
        <v>1+816.765936703527i</v>
      </c>
      <c r="R491" s="4">
        <f t="shared" si="424"/>
        <v>816.76654887378311</v>
      </c>
      <c r="S491" s="4">
        <f t="shared" si="425"/>
        <v>1.5695719864356914</v>
      </c>
      <c r="T491" s="4" t="str">
        <f t="shared" si="413"/>
        <v>1+12.6872562995813i</v>
      </c>
      <c r="U491" s="4">
        <f t="shared" si="426"/>
        <v>12.726604905129467</v>
      </c>
      <c r="V491" s="4">
        <f t="shared" si="427"/>
        <v>1.4921396939738483</v>
      </c>
      <c r="W491" t="str">
        <f t="shared" si="414"/>
        <v>1-7.38121626471653i</v>
      </c>
      <c r="X491" s="4">
        <f t="shared" si="428"/>
        <v>7.4486477663073742</v>
      </c>
      <c r="Y491" s="4">
        <f t="shared" si="429"/>
        <v>-1.4361371754435321</v>
      </c>
      <c r="Z491" t="str">
        <f t="shared" si="415"/>
        <v>0.711596849687339+4.94089578536126i</v>
      </c>
      <c r="AA491" s="4">
        <f t="shared" si="430"/>
        <v>4.9918755231160965</v>
      </c>
      <c r="AB491" s="4">
        <f t="shared" si="431"/>
        <v>1.4277580659935796</v>
      </c>
      <c r="AC491" s="47" t="str">
        <f t="shared" si="432"/>
        <v>-0.447044870319116-0.0907438787328787i</v>
      </c>
      <c r="AD491" s="20">
        <f t="shared" si="433"/>
        <v>-6.8176221474158405</v>
      </c>
      <c r="AE491" s="43">
        <f t="shared" si="434"/>
        <v>-168.52565385803268</v>
      </c>
      <c r="AF491" t="str">
        <f t="shared" si="416"/>
        <v>72.2956529813786</v>
      </c>
      <c r="AG491" t="str">
        <f t="shared" si="417"/>
        <v>1+666.080955728019i</v>
      </c>
      <c r="AH491">
        <f t="shared" si="435"/>
        <v>666.08170638710033</v>
      </c>
      <c r="AI491">
        <f t="shared" si="436"/>
        <v>1.5692950089144171</v>
      </c>
      <c r="AJ491" t="str">
        <f t="shared" si="418"/>
        <v>1+12.6872562995813i</v>
      </c>
      <c r="AK491">
        <f t="shared" si="437"/>
        <v>12.726604905129467</v>
      </c>
      <c r="AL491">
        <f t="shared" si="438"/>
        <v>1.4921396939738483</v>
      </c>
      <c r="AM491" t="str">
        <f t="shared" si="419"/>
        <v>1-1.63356158102871i</v>
      </c>
      <c r="AN491">
        <f t="shared" si="439"/>
        <v>1.9153389880157037</v>
      </c>
      <c r="AO491">
        <f t="shared" si="440"/>
        <v>-1.0214840662123363</v>
      </c>
      <c r="AP491" s="41" t="str">
        <f t="shared" si="441"/>
        <v>1.20329265588145-2.35624471545049i</v>
      </c>
      <c r="AQ491">
        <f t="shared" si="442"/>
        <v>8.450857787640798</v>
      </c>
      <c r="AR491" s="43">
        <f t="shared" si="443"/>
        <v>-62.947399746926131</v>
      </c>
      <c r="AS491" t="str">
        <f t="shared" si="420"/>
        <v>-0.0000166666666666667</v>
      </c>
      <c r="AT491" t="str">
        <f t="shared" si="421"/>
        <v>0.0114725189943023i</v>
      </c>
      <c r="AU491">
        <f t="shared" si="444"/>
        <v>1.1472518994302299E-2</v>
      </c>
      <c r="AV491">
        <f t="shared" si="445"/>
        <v>1.5707963267948966</v>
      </c>
      <c r="AW491" t="str">
        <f t="shared" si="422"/>
        <v>1+11.4625946699127i</v>
      </c>
      <c r="AX491">
        <f t="shared" si="446"/>
        <v>11.506132128856816</v>
      </c>
      <c r="AY491">
        <f t="shared" si="447"/>
        <v>1.4837763635554173</v>
      </c>
      <c r="AZ491" t="str">
        <f t="shared" si="423"/>
        <v>1+389.728218777032i</v>
      </c>
      <c r="BA491">
        <f t="shared" si="448"/>
        <v>389.7295017202548</v>
      </c>
      <c r="BB491">
        <f t="shared" si="449"/>
        <v>1.568230441756989</v>
      </c>
      <c r="BC491" s="41" t="str">
        <f t="shared" si="450"/>
        <v>-0.00415076480759926+0.0490312814825296i</v>
      </c>
      <c r="BD491">
        <f t="shared" si="451"/>
        <v>-26.159522208399309</v>
      </c>
      <c r="BE491" s="43">
        <f t="shared" si="452"/>
        <v>94.838862243617868</v>
      </c>
      <c r="BF491" s="41" t="str">
        <f t="shared" si="453"/>
        <v>0.00630486677610667-0.021542526373588i</v>
      </c>
      <c r="BG491" s="20">
        <f t="shared" si="454"/>
        <v>-32.977144355815163</v>
      </c>
      <c r="BH491" s="43">
        <f t="shared" si="455"/>
        <v>-73.686791614414787</v>
      </c>
      <c r="BI491" s="41" t="str">
        <f t="shared" si="409"/>
        <v>0.1105351130757+0.0687791985593676i</v>
      </c>
      <c r="BJ491" s="20">
        <f t="shared" si="456"/>
        <v>-17.708664420758538</v>
      </c>
      <c r="BK491" s="43">
        <f t="shared" si="410"/>
        <v>31.89146249669183</v>
      </c>
      <c r="BL491">
        <f t="shared" si="457"/>
        <v>-32.977144355815163</v>
      </c>
      <c r="BM491" s="43">
        <f t="shared" si="458"/>
        <v>-73.686791614414787</v>
      </c>
    </row>
    <row r="492" spans="14:65" x14ac:dyDescent="0.25">
      <c r="N492" s="9">
        <v>74</v>
      </c>
      <c r="O492" s="34">
        <f t="shared" si="459"/>
        <v>549540.87385762564</v>
      </c>
      <c r="P492" s="33" t="str">
        <f t="shared" si="411"/>
        <v>19.6196196196196</v>
      </c>
      <c r="Q492" s="4" t="str">
        <f t="shared" si="412"/>
        <v>1+835.790859362344i</v>
      </c>
      <c r="R492" s="4">
        <f t="shared" si="424"/>
        <v>835.79145759791379</v>
      </c>
      <c r="S492" s="4">
        <f t="shared" si="425"/>
        <v>1.5695998557978557</v>
      </c>
      <c r="T492" s="4" t="str">
        <f t="shared" si="413"/>
        <v>1+12.9827804626314i</v>
      </c>
      <c r="U492" s="4">
        <f t="shared" si="426"/>
        <v>13.021236060408535</v>
      </c>
      <c r="V492" s="4">
        <f t="shared" si="427"/>
        <v>1.493923010574006</v>
      </c>
      <c r="W492" t="str">
        <f t="shared" si="414"/>
        <v>1-7.55314687819313i</v>
      </c>
      <c r="X492" s="4">
        <f t="shared" si="428"/>
        <v>7.6190568815017139</v>
      </c>
      <c r="Y492" s="4">
        <f t="shared" si="429"/>
        <v>-1.4391667052067865</v>
      </c>
      <c r="Z492" t="str">
        <f t="shared" si="415"/>
        <v>0.698004827959798+5.05598403274969i</v>
      </c>
      <c r="AA492" s="4">
        <f t="shared" si="430"/>
        <v>5.1039382127211343</v>
      </c>
      <c r="AB492" s="4">
        <f t="shared" si="431"/>
        <v>1.433608318586012</v>
      </c>
      <c r="AC492" s="47" t="str">
        <f t="shared" si="432"/>
        <v>-0.447805563013358-0.087581260900487i</v>
      </c>
      <c r="AD492" s="20">
        <f t="shared" si="433"/>
        <v>-6.8151865002880214</v>
      </c>
      <c r="AE492" s="43">
        <f t="shared" si="434"/>
        <v>-168.93384819211332</v>
      </c>
      <c r="AF492" t="str">
        <f t="shared" si="416"/>
        <v>72.2956529813786</v>
      </c>
      <c r="AG492" t="str">
        <f t="shared" si="417"/>
        <v>1+681.595974288148i</v>
      </c>
      <c r="AH492">
        <f t="shared" si="435"/>
        <v>681.59670786016102</v>
      </c>
      <c r="AI492">
        <f t="shared" si="436"/>
        <v>1.5693291830319942</v>
      </c>
      <c r="AJ492" t="str">
        <f t="shared" si="418"/>
        <v>1+12.9827804626314i</v>
      </c>
      <c r="AK492">
        <f t="shared" si="437"/>
        <v>13.021236060408535</v>
      </c>
      <c r="AL492">
        <f t="shared" si="438"/>
        <v>1.493923010574006</v>
      </c>
      <c r="AM492" t="str">
        <f t="shared" si="419"/>
        <v>1-1.67161211832574i</v>
      </c>
      <c r="AN492">
        <f t="shared" si="439"/>
        <v>1.9478929832343121</v>
      </c>
      <c r="AO492">
        <f t="shared" si="440"/>
        <v>-1.0316830659495468</v>
      </c>
      <c r="AP492" s="41" t="str">
        <f t="shared" si="441"/>
        <v>1.20328544394278-2.40621307704959i</v>
      </c>
      <c r="AQ492">
        <f t="shared" si="442"/>
        <v>8.5960401194829501</v>
      </c>
      <c r="AR492" s="43">
        <f t="shared" si="443"/>
        <v>-63.431540905104342</v>
      </c>
      <c r="AS492" t="str">
        <f t="shared" si="420"/>
        <v>-0.0000166666666666667</v>
      </c>
      <c r="AT492" t="str">
        <f t="shared" si="421"/>
        <v>0.0117397482906773i</v>
      </c>
      <c r="AU492">
        <f t="shared" si="444"/>
        <v>1.1739748290677299E-2</v>
      </c>
      <c r="AV492">
        <f t="shared" si="445"/>
        <v>1.5707963267948966</v>
      </c>
      <c r="AW492" t="str">
        <f t="shared" si="422"/>
        <v>1+11.7295927990764i</v>
      </c>
      <c r="AX492">
        <f t="shared" si="446"/>
        <v>11.772142847933205</v>
      </c>
      <c r="AY492">
        <f t="shared" si="447"/>
        <v>1.4857475314606532</v>
      </c>
      <c r="AZ492" t="str">
        <f t="shared" si="423"/>
        <v>1+398.806155168597i</v>
      </c>
      <c r="BA492">
        <f t="shared" si="448"/>
        <v>398.80740890855964</v>
      </c>
      <c r="BB492">
        <f t="shared" si="449"/>
        <v>1.5682888481834893</v>
      </c>
      <c r="BC492" s="41" t="str">
        <f t="shared" si="450"/>
        <v>-0.00396529765248609+0.0479310051564638i</v>
      </c>
      <c r="BD492">
        <f t="shared" si="451"/>
        <v>-26.358046825163978</v>
      </c>
      <c r="BE492" s="43">
        <f t="shared" si="452"/>
        <v>94.729269083671113</v>
      </c>
      <c r="BF492" s="41" t="str">
        <f t="shared" si="453"/>
        <v>0.00597354021561792-0.021116484981636i</v>
      </c>
      <c r="BG492" s="20">
        <f t="shared" si="454"/>
        <v>-33.173233325451989</v>
      </c>
      <c r="BH492" s="43">
        <f t="shared" si="455"/>
        <v>-74.204579108442246</v>
      </c>
      <c r="BI492" s="41" t="str">
        <f t="shared" si="409"/>
        <v>0.110560826457478+0.0672160318841253i</v>
      </c>
      <c r="BJ492" s="20">
        <f t="shared" si="456"/>
        <v>-17.762006705681003</v>
      </c>
      <c r="BK492" s="43">
        <f t="shared" si="410"/>
        <v>31.297728178566683</v>
      </c>
      <c r="BL492">
        <f t="shared" si="457"/>
        <v>-33.173233325451989</v>
      </c>
      <c r="BM492" s="43">
        <f t="shared" si="458"/>
        <v>-74.204579108442246</v>
      </c>
    </row>
    <row r="493" spans="14:65" x14ac:dyDescent="0.25">
      <c r="N493" s="9">
        <v>75</v>
      </c>
      <c r="O493" s="34">
        <f t="shared" si="459"/>
        <v>562341.32519035018</v>
      </c>
      <c r="P493" s="33" t="str">
        <f t="shared" si="411"/>
        <v>19.6196196196196</v>
      </c>
      <c r="Q493" s="4" t="str">
        <f t="shared" si="412"/>
        <v>1+855.258929397798i</v>
      </c>
      <c r="R493" s="4">
        <f t="shared" si="424"/>
        <v>855.25951401587326</v>
      </c>
      <c r="S493" s="4">
        <f t="shared" si="425"/>
        <v>1.5696270907776828</v>
      </c>
      <c r="T493" s="4" t="str">
        <f t="shared" si="413"/>
        <v>1+13.2851882677302i</v>
      </c>
      <c r="U493" s="4">
        <f t="shared" si="426"/>
        <v>13.322771007152983</v>
      </c>
      <c r="V493" s="4">
        <f t="shared" si="427"/>
        <v>1.495666207456219</v>
      </c>
      <c r="W493" t="str">
        <f t="shared" si="414"/>
        <v>1-7.72908227012231i</v>
      </c>
      <c r="X493" s="4">
        <f t="shared" si="428"/>
        <v>7.7935045222492203</v>
      </c>
      <c r="Y493" s="4">
        <f t="shared" si="429"/>
        <v>-1.4421296246275477</v>
      </c>
      <c r="Z493" t="str">
        <f t="shared" si="415"/>
        <v>0.683772233983162+5.17375302979615i</v>
      </c>
      <c r="AA493" s="4">
        <f t="shared" si="430"/>
        <v>5.2187416952069174</v>
      </c>
      <c r="AB493" s="4">
        <f t="shared" si="431"/>
        <v>1.439396093583724</v>
      </c>
      <c r="AC493" s="47" t="str">
        <f t="shared" si="432"/>
        <v>-0.448527841770912-0.0844510044960226i</v>
      </c>
      <c r="AD493" s="20">
        <f t="shared" si="433"/>
        <v>-6.8129155520857596</v>
      </c>
      <c r="AE493" s="43">
        <f t="shared" si="434"/>
        <v>-169.33690867528858</v>
      </c>
      <c r="AF493" t="str">
        <f t="shared" si="416"/>
        <v>72.2956529813786</v>
      </c>
      <c r="AG493" t="str">
        <f t="shared" si="417"/>
        <v>1+697.472384055836i</v>
      </c>
      <c r="AH493">
        <f t="shared" si="435"/>
        <v>697.47310092972873</v>
      </c>
      <c r="AI493">
        <f t="shared" si="436"/>
        <v>1.5693625792549952</v>
      </c>
      <c r="AJ493" t="str">
        <f t="shared" si="418"/>
        <v>1+13.2851882677302i</v>
      </c>
      <c r="AK493">
        <f t="shared" si="437"/>
        <v>13.322771007152983</v>
      </c>
      <c r="AL493">
        <f t="shared" si="438"/>
        <v>1.495666207456219</v>
      </c>
      <c r="AM493" t="str">
        <f t="shared" si="419"/>
        <v>1-1.71054896649432i</v>
      </c>
      <c r="AN493">
        <f t="shared" si="439"/>
        <v>1.9814080263223894</v>
      </c>
      <c r="AO493">
        <f t="shared" si="440"/>
        <v>-1.0417716252151616</v>
      </c>
      <c r="AP493" s="41" t="str">
        <f t="shared" si="441"/>
        <v>1.20327855659345-2.45745724371945i</v>
      </c>
      <c r="AQ493">
        <f t="shared" si="442"/>
        <v>8.7430640555540275</v>
      </c>
      <c r="AR493" s="43">
        <f t="shared" si="443"/>
        <v>-63.911608410810025</v>
      </c>
      <c r="AS493" t="str">
        <f t="shared" si="420"/>
        <v>-0.0000166666666666667</v>
      </c>
      <c r="AT493" t="str">
        <f t="shared" si="421"/>
        <v>0.0120132021569901i</v>
      </c>
      <c r="AU493">
        <f t="shared" si="444"/>
        <v>1.20132021569901E-2</v>
      </c>
      <c r="AV493">
        <f t="shared" si="445"/>
        <v>1.5707963267948966</v>
      </c>
      <c r="AW493" t="str">
        <f t="shared" si="422"/>
        <v>1+12.0028101136017i</v>
      </c>
      <c r="AX493">
        <f t="shared" si="446"/>
        <v>12.04439498784307</v>
      </c>
      <c r="AY493">
        <f t="shared" si="447"/>
        <v>1.4876744704942493</v>
      </c>
      <c r="AZ493" t="str">
        <f t="shared" si="423"/>
        <v>1+408.095543862457i</v>
      </c>
      <c r="BA493">
        <f t="shared" si="448"/>
        <v>408.09676906390058</v>
      </c>
      <c r="BB493">
        <f t="shared" si="449"/>
        <v>1.5683459251339396</v>
      </c>
      <c r="BC493" s="41" t="str">
        <f t="shared" si="450"/>
        <v>-0.00378806009957881+0.0468547286148724i</v>
      </c>
      <c r="BD493">
        <f t="shared" si="451"/>
        <v>-26.55663737625553</v>
      </c>
      <c r="BE493" s="43">
        <f t="shared" si="452"/>
        <v>94.622133878035314</v>
      </c>
      <c r="BF493" s="41" t="str">
        <f t="shared" si="453"/>
        <v>0.0056559793178771-0.0206957448218898i</v>
      </c>
      <c r="BG493" s="20">
        <f t="shared" si="454"/>
        <v>-33.369552928341278</v>
      </c>
      <c r="BH493" s="43">
        <f t="shared" si="455"/>
        <v>-74.714774797253284</v>
      </c>
      <c r="BI493" s="41" t="str">
        <f t="shared" si="409"/>
        <v>0.110585400748217+0.065688285948636i</v>
      </c>
      <c r="BJ493" s="20">
        <f t="shared" si="456"/>
        <v>-17.813573320701487</v>
      </c>
      <c r="BK493" s="43">
        <f t="shared" si="410"/>
        <v>30.710525467225214</v>
      </c>
      <c r="BL493">
        <f t="shared" si="457"/>
        <v>-33.369552928341278</v>
      </c>
      <c r="BM493" s="43">
        <f t="shared" si="458"/>
        <v>-74.714774797253284</v>
      </c>
    </row>
    <row r="494" spans="14:65" x14ac:dyDescent="0.25">
      <c r="N494" s="9">
        <v>76</v>
      </c>
      <c r="O494" s="34">
        <f t="shared" si="459"/>
        <v>575439.93733715697</v>
      </c>
      <c r="P494" s="33" t="str">
        <f t="shared" si="411"/>
        <v>19.6196196196196</v>
      </c>
      <c r="Q494" s="4" t="str">
        <f t="shared" si="412"/>
        <v>1+875.180469038305i</v>
      </c>
      <c r="R494" s="4">
        <f t="shared" si="424"/>
        <v>875.18104034885687</v>
      </c>
      <c r="S494" s="4">
        <f t="shared" si="425"/>
        <v>1.5696537058153579</v>
      </c>
      <c r="T494" s="4" t="str">
        <f t="shared" si="413"/>
        <v>1+13.5946400554988i</v>
      </c>
      <c r="U494" s="4">
        <f t="shared" si="426"/>
        <v>13.631369639129165</v>
      </c>
      <c r="V494" s="4">
        <f t="shared" si="427"/>
        <v>1.4973701664859345</v>
      </c>
      <c r="W494" t="str">
        <f t="shared" si="414"/>
        <v>1-7.90911572377756i</v>
      </c>
      <c r="X494" s="4">
        <f t="shared" si="428"/>
        <v>7.9720832617393951</v>
      </c>
      <c r="Y494" s="4">
        <f t="shared" si="429"/>
        <v>-1.4450272964853199</v>
      </c>
      <c r="Z494" t="str">
        <f t="shared" si="415"/>
        <v>0.668868878517408+5.29426521918171i</v>
      </c>
      <c r="AA494" s="4">
        <f t="shared" si="430"/>
        <v>5.3363498561925544</v>
      </c>
      <c r="AB494" s="4">
        <f t="shared" si="431"/>
        <v>1.4451237628434308</v>
      </c>
      <c r="AC494" s="47" t="str">
        <f t="shared" si="432"/>
        <v>-0.449212872439931-0.0813523783183187i</v>
      </c>
      <c r="AD494" s="20">
        <f t="shared" si="433"/>
        <v>-6.8108058322799936</v>
      </c>
      <c r="AE494" s="43">
        <f t="shared" si="434"/>
        <v>-169.73499958664527</v>
      </c>
      <c r="AF494" t="str">
        <f t="shared" si="416"/>
        <v>72.2956529813786</v>
      </c>
      <c r="AG494" t="str">
        <f t="shared" si="417"/>
        <v>1+713.718602913687i</v>
      </c>
      <c r="AH494">
        <f t="shared" si="435"/>
        <v>713.71930346955389</v>
      </c>
      <c r="AI494">
        <f t="shared" si="436"/>
        <v>1.5693952152902415</v>
      </c>
      <c r="AJ494" t="str">
        <f t="shared" si="418"/>
        <v>1+13.5946400554988i</v>
      </c>
      <c r="AK494">
        <f t="shared" si="437"/>
        <v>13.631369639129165</v>
      </c>
      <c r="AL494">
        <f t="shared" si="438"/>
        <v>1.4973701664859345</v>
      </c>
      <c r="AM494" t="str">
        <f t="shared" si="419"/>
        <v>1-1.75039277036673i</v>
      </c>
      <c r="AN494">
        <f t="shared" si="439"/>
        <v>2.0159054666705272</v>
      </c>
      <c r="AO494">
        <f t="shared" si="440"/>
        <v>-1.0517468781293211</v>
      </c>
      <c r="AP494" s="41" t="str">
        <f t="shared" si="441"/>
        <v>1.20327197922465-2.51000438585913i</v>
      </c>
      <c r="AQ494">
        <f t="shared" si="442"/>
        <v>8.8918879777326296</v>
      </c>
      <c r="AR494" s="43">
        <f t="shared" si="443"/>
        <v>-64.387388548580788</v>
      </c>
      <c r="AS494" t="str">
        <f t="shared" si="420"/>
        <v>-0.0000166666666666667</v>
      </c>
      <c r="AT494" t="str">
        <f t="shared" si="421"/>
        <v>0.0122930255821i</v>
      </c>
      <c r="AU494">
        <f t="shared" si="444"/>
        <v>1.2293025582099999E-2</v>
      </c>
      <c r="AV494">
        <f t="shared" si="445"/>
        <v>1.5707963267948966</v>
      </c>
      <c r="AW494" t="str">
        <f t="shared" si="422"/>
        <v>1+12.2823914769252i</v>
      </c>
      <c r="AX494">
        <f t="shared" si="446"/>
        <v>12.323032921827517</v>
      </c>
      <c r="AY494">
        <f t="shared" si="447"/>
        <v>1.4895581450737201</v>
      </c>
      <c r="AZ494" t="str">
        <f t="shared" si="423"/>
        <v>1+417.601310215455i</v>
      </c>
      <c r="BA494">
        <f t="shared" si="448"/>
        <v>417.60250752798964</v>
      </c>
      <c r="BB494">
        <f t="shared" si="449"/>
        <v>1.5684017028698054</v>
      </c>
      <c r="BC494" s="41" t="str">
        <f t="shared" si="450"/>
        <v>-0.00361869201562174+0.0458019742840379i</v>
      </c>
      <c r="BD494">
        <f t="shared" si="451"/>
        <v>-26.755290935116392</v>
      </c>
      <c r="BE494" s="43">
        <f t="shared" si="452"/>
        <v>94.517403103511484</v>
      </c>
      <c r="BF494" s="41" t="str">
        <f t="shared" si="453"/>
        <v>0.00535166257449384-0.0202804472296802i</v>
      </c>
      <c r="BG494" s="20">
        <f t="shared" si="454"/>
        <v>-33.566096767396381</v>
      </c>
      <c r="BH494" s="43">
        <f t="shared" si="455"/>
        <v>-75.217596483133804</v>
      </c>
      <c r="BI494" s="41" t="str">
        <f t="shared" si="409"/>
        <v>0.110608885630101+0.0641951650794348i</v>
      </c>
      <c r="BJ494" s="20">
        <f t="shared" si="456"/>
        <v>-17.863402957383737</v>
      </c>
      <c r="BK494" s="43">
        <f t="shared" si="410"/>
        <v>30.130014554930618</v>
      </c>
      <c r="BL494">
        <f t="shared" si="457"/>
        <v>-33.566096767396381</v>
      </c>
      <c r="BM494" s="43">
        <f t="shared" si="458"/>
        <v>-75.217596483133804</v>
      </c>
    </row>
    <row r="495" spans="14:65" x14ac:dyDescent="0.25">
      <c r="N495" s="9">
        <v>77</v>
      </c>
      <c r="O495" s="34">
        <f t="shared" si="459"/>
        <v>588843.65535558888</v>
      </c>
      <c r="P495" s="33" t="str">
        <f t="shared" si="411"/>
        <v>19.6196196196196</v>
      </c>
      <c r="Q495" s="4" t="str">
        <f t="shared" si="412"/>
        <v>1+895.566040947881i</v>
      </c>
      <c r="R495" s="4">
        <f t="shared" si="424"/>
        <v>895.56659925382519</v>
      </c>
      <c r="S495" s="4">
        <f t="shared" si="425"/>
        <v>1.5696797150223754</v>
      </c>
      <c r="T495" s="4" t="str">
        <f t="shared" si="413"/>
        <v>1+13.9112999013711i</v>
      </c>
      <c r="U495" s="4">
        <f t="shared" si="426"/>
        <v>13.947195594308111</v>
      </c>
      <c r="V495" s="4">
        <f t="shared" si="427"/>
        <v>1.4990357515233828</v>
      </c>
      <c r="W495" t="str">
        <f t="shared" si="414"/>
        <v>1-8.0933426952791i</v>
      </c>
      <c r="X495" s="4">
        <f t="shared" si="428"/>
        <v>8.1548878584090634</v>
      </c>
      <c r="Y495" s="4">
        <f t="shared" si="429"/>
        <v>-1.4478610624179693</v>
      </c>
      <c r="Z495" t="str">
        <f t="shared" si="415"/>
        <v>0.653263149547468+5.41758449806438i</v>
      </c>
      <c r="AA495" s="4">
        <f t="shared" si="430"/>
        <v>5.4568282487379198</v>
      </c>
      <c r="AB495" s="4">
        <f t="shared" si="431"/>
        <v>1.4507937066064553</v>
      </c>
      <c r="AC495" s="47" t="str">
        <f t="shared" si="432"/>
        <v>-0.449861772475478-0.0782846174546038i</v>
      </c>
      <c r="AD495" s="20">
        <f t="shared" si="433"/>
        <v>-6.8088540972068348</v>
      </c>
      <c r="AE495" s="43">
        <f t="shared" si="434"/>
        <v>-170.12828548713651</v>
      </c>
      <c r="AF495" t="str">
        <f t="shared" si="416"/>
        <v>72.2956529813786</v>
      </c>
      <c r="AG495" t="str">
        <f t="shared" si="417"/>
        <v>1+730.343244821986i</v>
      </c>
      <c r="AH495">
        <f t="shared" si="435"/>
        <v>730.34392943126966</v>
      </c>
      <c r="AI495">
        <f t="shared" si="436"/>
        <v>1.5694271084415126</v>
      </c>
      <c r="AJ495" t="str">
        <f t="shared" si="418"/>
        <v>1+13.9112999013711i</v>
      </c>
      <c r="AK495">
        <f t="shared" si="437"/>
        <v>13.947195594308111</v>
      </c>
      <c r="AL495">
        <f t="shared" si="438"/>
        <v>1.4990357515233828</v>
      </c>
      <c r="AM495" t="str">
        <f t="shared" si="419"/>
        <v>1-1.79116465565517i</v>
      </c>
      <c r="AN495">
        <f t="shared" si="439"/>
        <v>2.0514070351025668</v>
      </c>
      <c r="AO495">
        <f t="shared" si="440"/>
        <v>-1.0616061723395054</v>
      </c>
      <c r="AP495" s="41" t="str">
        <f t="shared" si="441"/>
        <v>1.20326569788507-2.56388236471824i</v>
      </c>
      <c r="AQ495">
        <f t="shared" si="442"/>
        <v>9.0424698577099587</v>
      </c>
      <c r="AR495" s="43">
        <f t="shared" si="443"/>
        <v>-64.858680845699411</v>
      </c>
      <c r="AS495" t="str">
        <f t="shared" si="420"/>
        <v>-0.0000166666666666667</v>
      </c>
      <c r="AT495" t="str">
        <f t="shared" si="421"/>
        <v>0.0125793669320909i</v>
      </c>
      <c r="AU495">
        <f t="shared" si="444"/>
        <v>1.2579366932090901E-2</v>
      </c>
      <c r="AV495">
        <f t="shared" si="445"/>
        <v>1.5707963267948966</v>
      </c>
      <c r="AW495" t="str">
        <f t="shared" si="422"/>
        <v>1+12.5684851267864i</v>
      </c>
      <c r="AX495">
        <f t="shared" si="446"/>
        <v>12.608204407537617</v>
      </c>
      <c r="AY495">
        <f t="shared" si="447"/>
        <v>1.4913995004488076</v>
      </c>
      <c r="AZ495" t="str">
        <f t="shared" si="423"/>
        <v>1+427.328494310736i</v>
      </c>
      <c r="BA495">
        <f t="shared" si="448"/>
        <v>427.32966436918554</v>
      </c>
      <c r="BB495">
        <f t="shared" si="449"/>
        <v>1.5684562109637921</v>
      </c>
      <c r="BC495" s="41" t="str">
        <f t="shared" si="450"/>
        <v>-0.00345684858667742+0.0447722709877161i</v>
      </c>
      <c r="BD495">
        <f t="shared" si="451"/>
        <v>-26.954004703336434</v>
      </c>
      <c r="BE495" s="43">
        <f t="shared" si="452"/>
        <v>94.415024295669966</v>
      </c>
      <c r="BF495" s="41" t="str">
        <f t="shared" si="453"/>
        <v>0.00506008413922927-0.0198707151150799i</v>
      </c>
      <c r="BG495" s="20">
        <f t="shared" si="454"/>
        <v>-33.762858800543249</v>
      </c>
      <c r="BH495" s="43">
        <f t="shared" si="455"/>
        <v>-75.713261191466557</v>
      </c>
      <c r="BI495" s="41" t="str">
        <f t="shared" si="409"/>
        <v>0.11063132868666+0.0627358910248171i</v>
      </c>
      <c r="BJ495" s="20">
        <f t="shared" si="456"/>
        <v>-17.911534845626477</v>
      </c>
      <c r="BK495" s="43">
        <f t="shared" si="410"/>
        <v>29.556343449970562</v>
      </c>
      <c r="BL495">
        <f t="shared" si="457"/>
        <v>-33.762858800543249</v>
      </c>
      <c r="BM495" s="43">
        <f t="shared" si="458"/>
        <v>-75.713261191466557</v>
      </c>
    </row>
    <row r="496" spans="14:65" x14ac:dyDescent="0.25">
      <c r="N496" s="9">
        <v>78</v>
      </c>
      <c r="O496" s="34">
        <f t="shared" si="459"/>
        <v>602559.58607435878</v>
      </c>
      <c r="P496" s="33" t="str">
        <f t="shared" si="411"/>
        <v>19.6196196196196</v>
      </c>
      <c r="Q496" s="4" t="str">
        <f t="shared" si="412"/>
        <v>1+916.426453826585i</v>
      </c>
      <c r="R496" s="4">
        <f t="shared" si="424"/>
        <v>916.42699942394199</v>
      </c>
      <c r="S496" s="4">
        <f t="shared" si="425"/>
        <v>1.5697051321890201</v>
      </c>
      <c r="T496" s="4" t="str">
        <f t="shared" si="413"/>
        <v>1+14.235335702589i</v>
      </c>
      <c r="U496" s="4">
        <f t="shared" si="426"/>
        <v>14.27041634169813</v>
      </c>
      <c r="V496" s="4">
        <f t="shared" si="427"/>
        <v>1.5006638086980997</v>
      </c>
      <c r="W496" t="str">
        <f t="shared" si="414"/>
        <v>1-8.28186086420573i</v>
      </c>
      <c r="X496" s="4">
        <f t="shared" si="428"/>
        <v>8.3420153065109197</v>
      </c>
      <c r="Y496" s="4">
        <f t="shared" si="429"/>
        <v>-1.4506322427821097</v>
      </c>
      <c r="Z496" t="str">
        <f t="shared" si="415"/>
        <v>0.6369219452299+5.54377625195812i</v>
      </c>
      <c r="AA496" s="4">
        <f t="shared" si="430"/>
        <v>5.5802441430541609</v>
      </c>
      <c r="AB496" s="4">
        <f t="shared" si="431"/>
        <v>1.4564083121895508</v>
      </c>
      <c r="AC496" s="47" t="str">
        <f t="shared" si="432"/>
        <v>-0.450475610962648-0.0752469258126931i</v>
      </c>
      <c r="AD496" s="20">
        <f t="shared" si="433"/>
        <v>-6.8070573321921044</v>
      </c>
      <c r="AE496" s="43">
        <f t="shared" si="434"/>
        <v>-170.51693112127191</v>
      </c>
      <c r="AF496" t="str">
        <f t="shared" si="416"/>
        <v>72.2956529813786</v>
      </c>
      <c r="AG496" t="str">
        <f t="shared" si="417"/>
        <v>1+747.355124385925i</v>
      </c>
      <c r="AH496">
        <f t="shared" si="435"/>
        <v>747.35579341161292</v>
      </c>
      <c r="AI496">
        <f t="shared" si="436"/>
        <v>1.5694582756187199</v>
      </c>
      <c r="AJ496" t="str">
        <f t="shared" si="418"/>
        <v>1+14.235335702589i</v>
      </c>
      <c r="AK496">
        <f t="shared" si="437"/>
        <v>14.27041634169813</v>
      </c>
      <c r="AL496">
        <f t="shared" si="438"/>
        <v>1.5006638086980997</v>
      </c>
      <c r="AM496" t="str">
        <f t="shared" si="419"/>
        <v>1-1.8328862401529i</v>
      </c>
      <c r="AN496">
        <f t="shared" si="439"/>
        <v>2.0879348575426953</v>
      </c>
      <c r="AO496">
        <f t="shared" si="440"/>
        <v>-1.071347067661711</v>
      </c>
      <c r="AP496" s="41" t="str">
        <f t="shared" si="441"/>
        <v>1.20325969925131-2.61911974716975i</v>
      </c>
      <c r="AQ496">
        <f t="shared" si="442"/>
        <v>9.1947673578956461</v>
      </c>
      <c r="AR496" s="43">
        <f t="shared" si="443"/>
        <v>-65.32529797913665</v>
      </c>
      <c r="AS496" t="str">
        <f t="shared" si="420"/>
        <v>-0.0000166666666666667</v>
      </c>
      <c r="AT496" t="str">
        <f t="shared" si="421"/>
        <v>0.0128723780289369i</v>
      </c>
      <c r="AU496">
        <f t="shared" si="444"/>
        <v>1.28723780289369E-2</v>
      </c>
      <c r="AV496">
        <f t="shared" si="445"/>
        <v>1.5707963267948966</v>
      </c>
      <c r="AW496" t="str">
        <f t="shared" si="422"/>
        <v>1+12.8612427538254i</v>
      </c>
      <c r="AX496">
        <f t="shared" si="446"/>
        <v>12.900060665470779</v>
      </c>
      <c r="AY496">
        <f t="shared" si="447"/>
        <v>1.4931994629564151</v>
      </c>
      <c r="AZ496" t="str">
        <f t="shared" si="423"/>
        <v>1+437.282253630062i</v>
      </c>
      <c r="BA496">
        <f t="shared" si="448"/>
        <v>437.28339705480005</v>
      </c>
      <c r="BB496">
        <f t="shared" si="449"/>
        <v>1.568509478315516</v>
      </c>
      <c r="BC496" s="41" t="str">
        <f t="shared" si="450"/>
        <v>-0.00330219970518624+0.0437651540878996i</v>
      </c>
      <c r="BD496">
        <f t="shared" si="451"/>
        <v>-27.152776005194323</v>
      </c>
      <c r="BE496" s="43">
        <f t="shared" si="452"/>
        <v>94.314946035141872</v>
      </c>
      <c r="BF496" s="41" t="str">
        <f t="shared" si="453"/>
        <v>0.00478075373254771-0.0194666541503862i</v>
      </c>
      <c r="BG496" s="20">
        <f t="shared" si="454"/>
        <v>-33.959833337386407</v>
      </c>
      <c r="BH496" s="43">
        <f t="shared" si="455"/>
        <v>-76.20198508613008</v>
      </c>
      <c r="BI496" s="41" t="str">
        <f t="shared" si="409"/>
        <v>0.110652775485415+0.0613097026024447i</v>
      </c>
      <c r="BJ496" s="20">
        <f t="shared" si="456"/>
        <v>-17.958008647298655</v>
      </c>
      <c r="BK496" s="43">
        <f t="shared" si="410"/>
        <v>28.989648056005134</v>
      </c>
      <c r="BL496">
        <f t="shared" si="457"/>
        <v>-33.959833337386407</v>
      </c>
      <c r="BM496" s="43">
        <f t="shared" si="458"/>
        <v>-76.20198508613008</v>
      </c>
    </row>
    <row r="497" spans="14:65" x14ac:dyDescent="0.25">
      <c r="N497" s="9">
        <v>79</v>
      </c>
      <c r="O497" s="34">
        <f t="shared" si="459"/>
        <v>616595.00186148309</v>
      </c>
      <c r="P497" s="33" t="str">
        <f t="shared" si="411"/>
        <v>19.6196196196196</v>
      </c>
      <c r="Q497" s="4" t="str">
        <f t="shared" si="412"/>
        <v>1+937.772768141448i</v>
      </c>
      <c r="R497" s="4">
        <f t="shared" si="424"/>
        <v>937.77330131950009</v>
      </c>
      <c r="S497" s="4">
        <f t="shared" si="425"/>
        <v>1.569729970791679</v>
      </c>
      <c r="T497" s="4" t="str">
        <f t="shared" si="413"/>
        <v>1+14.5669192672234i</v>
      </c>
      <c r="U497" s="4">
        <f t="shared" si="426"/>
        <v>14.601203270203602</v>
      </c>
      <c r="V497" s="4">
        <f t="shared" si="427"/>
        <v>1.5022551666859354</v>
      </c>
      <c r="W497" t="str">
        <f t="shared" si="414"/>
        <v>1-8.47477018538597i</v>
      </c>
      <c r="X497" s="4">
        <f t="shared" si="428"/>
        <v>8.5335648878476889</v>
      </c>
      <c r="Y497" s="4">
        <f t="shared" si="429"/>
        <v>-1.4533421365540649</v>
      </c>
      <c r="Z497" t="str">
        <f t="shared" si="415"/>
        <v>0.619810603679439+5.67290738940121i</v>
      </c>
      <c r="AA497" s="4">
        <f t="shared" si="430"/>
        <v>5.7066665780608146</v>
      </c>
      <c r="AB497" s="4">
        <f t="shared" si="431"/>
        <v>1.4619699728027191</v>
      </c>
      <c r="AC497" s="47" t="str">
        <f t="shared" si="432"/>
        <v>-0.451055408716381-0.0722384785318657i</v>
      </c>
      <c r="AD497" s="20">
        <f t="shared" si="433"/>
        <v>-6.8054127534394073</v>
      </c>
      <c r="AE497" s="43">
        <f t="shared" si="434"/>
        <v>-170.90110132825635</v>
      </c>
      <c r="AF497" t="str">
        <f t="shared" si="416"/>
        <v>72.2956529813786</v>
      </c>
      <c r="AG497" t="str">
        <f t="shared" si="417"/>
        <v>1+764.763261529229i</v>
      </c>
      <c r="AH497">
        <f t="shared" si="435"/>
        <v>764.76391532604612</v>
      </c>
      <c r="AI497">
        <f t="shared" si="436"/>
        <v>1.569488733346871</v>
      </c>
      <c r="AJ497" t="str">
        <f t="shared" si="418"/>
        <v>1+14.5669192672234i</v>
      </c>
      <c r="AK497">
        <f t="shared" si="437"/>
        <v>14.601203270203602</v>
      </c>
      <c r="AL497">
        <f t="shared" si="438"/>
        <v>1.5022551666859354</v>
      </c>
      <c r="AM497" t="str">
        <f t="shared" si="419"/>
        <v>1-1.87557964519628i</v>
      </c>
      <c r="AN497">
        <f t="shared" si="439"/>
        <v>2.125511469146804</v>
      </c>
      <c r="AO497">
        <f t="shared" si="440"/>
        <v>-1.080967333986893</v>
      </c>
      <c r="AP497" s="41" t="str">
        <f t="shared" si="441"/>
        <v>1.20325397059961-2.67574582085667i</v>
      </c>
      <c r="AQ497">
        <f t="shared" si="442"/>
        <v>9.3487379291762789</v>
      </c>
      <c r="AR497" s="43">
        <f t="shared" si="443"/>
        <v>-65.787065640240471</v>
      </c>
      <c r="AS497" t="str">
        <f t="shared" si="420"/>
        <v>-0.0000166666666666667</v>
      </c>
      <c r="AT497" t="str">
        <f t="shared" si="421"/>
        <v>0.0131722142309999i</v>
      </c>
      <c r="AU497">
        <f t="shared" si="444"/>
        <v>1.31722142309999E-2</v>
      </c>
      <c r="AV497">
        <f t="shared" si="445"/>
        <v>1.5707963267948966</v>
      </c>
      <c r="AW497" t="str">
        <f t="shared" si="422"/>
        <v>1+13.1608195820112i</v>
      </c>
      <c r="AX497">
        <f t="shared" si="446"/>
        <v>13.198756459236963</v>
      </c>
      <c r="AY497">
        <f t="shared" si="447"/>
        <v>1.4949589402813594</v>
      </c>
      <c r="AZ497" t="str">
        <f t="shared" si="423"/>
        <v>1+447.467865788379i</v>
      </c>
      <c r="BA497">
        <f t="shared" si="448"/>
        <v>447.46898318565809</v>
      </c>
      <c r="BB497">
        <f t="shared" si="449"/>
        <v>1.5685615331668221</v>
      </c>
      <c r="BC497" s="41" t="str">
        <f t="shared" si="450"/>
        <v>-0.00315442937809524+0.0427801656045574i</v>
      </c>
      <c r="BD497">
        <f t="shared" si="451"/>
        <v>-27.351602282418625</v>
      </c>
      <c r="BE497" s="43">
        <f t="shared" si="452"/>
        <v>94.217117933556636</v>
      </c>
      <c r="BF497" s="41" t="str">
        <f t="shared" si="453"/>
        <v>0.00451319650701819-0.0190683539028083i</v>
      </c>
      <c r="BG497" s="20">
        <f t="shared" si="454"/>
        <v>-34.157015035858024</v>
      </c>
      <c r="BH497" s="43">
        <f t="shared" si="455"/>
        <v>-76.683983394699723</v>
      </c>
      <c r="BI497" s="41" t="str">
        <f t="shared" si="409"/>
        <v>0.110673269657782+0.0599158553522184i</v>
      </c>
      <c r="BJ497" s="20">
        <f t="shared" si="456"/>
        <v>-18.002864353242316</v>
      </c>
      <c r="BK497" s="43">
        <f t="shared" si="410"/>
        <v>28.430052293316074</v>
      </c>
      <c r="BL497">
        <f t="shared" si="457"/>
        <v>-34.157015035858024</v>
      </c>
      <c r="BM497" s="43">
        <f t="shared" si="458"/>
        <v>-76.683983394699723</v>
      </c>
    </row>
    <row r="498" spans="14:65" x14ac:dyDescent="0.25">
      <c r="N498" s="9">
        <v>80</v>
      </c>
      <c r="O498" s="34">
        <f t="shared" si="459"/>
        <v>630957.34448019415</v>
      </c>
      <c r="P498" s="33" t="str">
        <f t="shared" si="411"/>
        <v>19.6196196196196</v>
      </c>
      <c r="Q498" s="4" t="str">
        <f t="shared" si="412"/>
        <v>1+959.616301990867i</v>
      </c>
      <c r="R498" s="4">
        <f t="shared" si="424"/>
        <v>959.61682303231169</v>
      </c>
      <c r="S498" s="4">
        <f t="shared" si="425"/>
        <v>1.5697542439999852</v>
      </c>
      <c r="T498" s="4" t="str">
        <f t="shared" si="413"/>
        <v>1+14.9062264052692i</v>
      </c>
      <c r="U498" s="4">
        <f t="shared" si="426"/>
        <v>14.939731779558318</v>
      </c>
      <c r="V498" s="4">
        <f t="shared" si="427"/>
        <v>1.5038106369879483</v>
      </c>
      <c r="W498" t="str">
        <f t="shared" si="414"/>
        <v>1-8.67217294189532i</v>
      </c>
      <c r="X498" s="4">
        <f t="shared" si="428"/>
        <v>8.7296382246998849</v>
      </c>
      <c r="Y498" s="4">
        <f t="shared" si="429"/>
        <v>-1.4559920212684063</v>
      </c>
      <c r="Z498" t="str">
        <f t="shared" si="415"/>
        <v>0.601892829446504+5.80504637743196i</v>
      </c>
      <c r="AA498" s="4">
        <f t="shared" si="430"/>
        <v>5.8361664148887193</v>
      </c>
      <c r="AB498" s="4">
        <f t="shared" si="431"/>
        <v>1.4674810864873538</v>
      </c>
      <c r="AC498" s="47" t="str">
        <f t="shared" si="432"/>
        <v>-0.451602138446977-0.0692584242755952i</v>
      </c>
      <c r="AD498" s="20">
        <f t="shared" si="433"/>
        <v>-6.8039178097330293</v>
      </c>
      <c r="AE498" s="43">
        <f t="shared" si="434"/>
        <v>-171.28096096205863</v>
      </c>
      <c r="AF498" t="str">
        <f t="shared" si="416"/>
        <v>72.2956529813786</v>
      </c>
      <c r="AG498" t="str">
        <f t="shared" si="417"/>
        <v>1+782.576886276633i</v>
      </c>
      <c r="AH498">
        <f t="shared" si="435"/>
        <v>782.57752519122994</v>
      </c>
      <c r="AI498">
        <f t="shared" si="436"/>
        <v>1.56951849777483</v>
      </c>
      <c r="AJ498" t="str">
        <f t="shared" si="418"/>
        <v>1+14.9062264052692i</v>
      </c>
      <c r="AK498">
        <f t="shared" si="437"/>
        <v>14.939731779558318</v>
      </c>
      <c r="AL498">
        <f t="shared" si="438"/>
        <v>1.5038106369879483</v>
      </c>
      <c r="AM498" t="str">
        <f t="shared" si="419"/>
        <v>1-1.91926750739378i</v>
      </c>
      <c r="AN498">
        <f t="shared" si="439"/>
        <v>2.1641598288799129</v>
      </c>
      <c r="AO498">
        <f t="shared" si="440"/>
        <v>-1.0904649485043552</v>
      </c>
      <c r="AP498" s="41" t="str">
        <f t="shared" si="441"/>
        <v>1.20324849977883-2.73379060972104i</v>
      </c>
      <c r="AQ498">
        <f t="shared" si="442"/>
        <v>9.504338905141541</v>
      </c>
      <c r="AR498" s="43">
        <f t="shared" si="443"/>
        <v>-66.243822360171777</v>
      </c>
      <c r="AS498" t="str">
        <f t="shared" si="420"/>
        <v>-0.0000166666666666667</v>
      </c>
      <c r="AT498" t="str">
        <f t="shared" si="421"/>
        <v>0.013479034515403i</v>
      </c>
      <c r="AU498">
        <f t="shared" si="444"/>
        <v>1.3479034515403001E-2</v>
      </c>
      <c r="AV498">
        <f t="shared" si="445"/>
        <v>1.5707963267948966</v>
      </c>
      <c r="AW498" t="str">
        <f t="shared" si="422"/>
        <v>1+13.4673744509433i</v>
      </c>
      <c r="AX498">
        <f t="shared" si="446"/>
        <v>13.504450177697736</v>
      </c>
      <c r="AY498">
        <f t="shared" si="447"/>
        <v>1.4966788217220848</v>
      </c>
      <c r="AZ498" t="str">
        <f t="shared" si="423"/>
        <v>1+457.890731332072i</v>
      </c>
      <c r="BA498">
        <f t="shared" si="448"/>
        <v>457.8918232943451</v>
      </c>
      <c r="BB498">
        <f t="shared" si="449"/>
        <v>1.568612403116753</v>
      </c>
      <c r="BC498" s="41" t="str">
        <f t="shared" si="450"/>
        <v>-0.00301323515565414+0.0418168543158861i</v>
      </c>
      <c r="BD498">
        <f t="shared" si="451"/>
        <v>-27.550481089160051</v>
      </c>
      <c r="BE498" s="43">
        <f t="shared" si="452"/>
        <v>94.121490619175276</v>
      </c>
      <c r="BF498" s="41" t="str">
        <f t="shared" si="453"/>
        <v>0.00425695287801741-0.0186758889133274i</v>
      </c>
      <c r="BG498" s="20">
        <f t="shared" si="454"/>
        <v>-34.354398898893088</v>
      </c>
      <c r="BH498" s="43">
        <f t="shared" si="455"/>
        <v>-77.159470342883324</v>
      </c>
      <c r="BI498" s="41" t="str">
        <f t="shared" ref="BI498:BI560" si="460">IMPRODUCT(AP498,BC498)</f>
        <v>0.11069285297632+0.0585536211944684i</v>
      </c>
      <c r="BJ498" s="20">
        <f t="shared" si="456"/>
        <v>-18.046142184018542</v>
      </c>
      <c r="BK498" s="43">
        <f t="shared" ref="BK498:BK560" si="461">(180/PI())*IMARGUMENT(BI498)</f>
        <v>27.877668259003595</v>
      </c>
      <c r="BL498">
        <f t="shared" si="457"/>
        <v>-34.354398898893088</v>
      </c>
      <c r="BM498" s="43">
        <f t="shared" si="458"/>
        <v>-77.159470342883324</v>
      </c>
    </row>
    <row r="499" spans="14:65" x14ac:dyDescent="0.25">
      <c r="N499" s="9">
        <v>81</v>
      </c>
      <c r="O499" s="34">
        <f t="shared" si="459"/>
        <v>645654.22903465747</v>
      </c>
      <c r="P499" s="33" t="str">
        <f t="shared" si="411"/>
        <v>19.6196196196196</v>
      </c>
      <c r="Q499" s="4" t="str">
        <f t="shared" si="412"/>
        <v>1+981.968637105628i</v>
      </c>
      <c r="R499" s="4">
        <f t="shared" si="424"/>
        <v>981.96914628672766</v>
      </c>
      <c r="S499" s="4">
        <f t="shared" si="425"/>
        <v>1.5697779646838008</v>
      </c>
      <c r="T499" s="4" t="str">
        <f t="shared" si="413"/>
        <v>1+15.2534370218623i</v>
      </c>
      <c r="U499" s="4">
        <f t="shared" si="426"/>
        <v>15.286181373381627</v>
      </c>
      <c r="V499" s="4">
        <f t="shared" si="427"/>
        <v>1.5053310142106169</v>
      </c>
      <c r="W499" t="str">
        <f t="shared" si="414"/>
        <v>1-8.87417379928826i</v>
      </c>
      <c r="X499" s="4">
        <f t="shared" si="428"/>
        <v>8.9303393339768569</v>
      </c>
      <c r="Y499" s="4">
        <f t="shared" si="429"/>
        <v>-1.4585831529912268</v>
      </c>
      <c r="Z499" t="str">
        <f t="shared" si="415"/>
        <v>0.583130616529663+5.94026327789092i</v>
      </c>
      <c r="AA499" s="4">
        <f t="shared" si="430"/>
        <v>5.9688163924344027</v>
      </c>
      <c r="AB499" s="4">
        <f t="shared" si="431"/>
        <v>1.4729440551681539</v>
      </c>
      <c r="AC499" s="47" t="str">
        <f t="shared" si="432"/>
        <v>-0.452116724980947-0.0663058874097202i</v>
      </c>
      <c r="AD499" s="20">
        <f t="shared" si="433"/>
        <v>-6.8025701840058765</v>
      </c>
      <c r="AE499" s="43">
        <f t="shared" si="434"/>
        <v>-171.65667481990374</v>
      </c>
      <c r="AF499" t="str">
        <f t="shared" si="416"/>
        <v>72.2956529813786</v>
      </c>
      <c r="AG499" t="str">
        <f t="shared" si="417"/>
        <v>1+800.805443647772i</v>
      </c>
      <c r="AH499">
        <f t="shared" si="435"/>
        <v>800.8060680189086</v>
      </c>
      <c r="AI499">
        <f t="shared" si="436"/>
        <v>1.56954758468388</v>
      </c>
      <c r="AJ499" t="str">
        <f t="shared" si="418"/>
        <v>1+15.2534370218623i</v>
      </c>
      <c r="AK499">
        <f t="shared" si="437"/>
        <v>15.286181373381627</v>
      </c>
      <c r="AL499">
        <f t="shared" si="438"/>
        <v>1.5053310142106169</v>
      </c>
      <c r="AM499" t="str">
        <f t="shared" si="419"/>
        <v>1-1.96397299062821i</v>
      </c>
      <c r="AN499">
        <f t="shared" si="439"/>
        <v>2.2039033345219829</v>
      </c>
      <c r="AO499">
        <f t="shared" si="440"/>
        <v>-1.0998380922956752</v>
      </c>
      <c r="AP499" s="41" t="str">
        <f t="shared" si="441"/>
        <v>1.20324327518477-2.79328488992324i</v>
      </c>
      <c r="AQ499">
        <f t="shared" si="442"/>
        <v>9.6615275924443473</v>
      </c>
      <c r="AR499" s="43">
        <f t="shared" si="443"/>
        <v>-66.695419299184508</v>
      </c>
      <c r="AS499" t="str">
        <f t="shared" si="420"/>
        <v>-0.0000166666666666667</v>
      </c>
      <c r="AT499" t="str">
        <f t="shared" si="421"/>
        <v>0.0137930015623223i</v>
      </c>
      <c r="AU499">
        <f t="shared" si="444"/>
        <v>1.3793001562322301E-2</v>
      </c>
      <c r="AV499">
        <f t="shared" si="445"/>
        <v>1.5707963267948966</v>
      </c>
      <c r="AW499" t="str">
        <f t="shared" si="422"/>
        <v>1+13.7810699000712i</v>
      </c>
      <c r="AX499">
        <f t="shared" si="446"/>
        <v>13.817303919023004</v>
      </c>
      <c r="AY499">
        <f t="shared" si="447"/>
        <v>1.4983599784605519</v>
      </c>
      <c r="AZ499" t="str">
        <f t="shared" si="423"/>
        <v>1+468.55637660242i</v>
      </c>
      <c r="BA499">
        <f t="shared" si="448"/>
        <v>468.55744370865449</v>
      </c>
      <c r="BB499">
        <f t="shared" si="449"/>
        <v>1.5686621151361753</v>
      </c>
      <c r="BC499" s="41" t="str">
        <f t="shared" si="450"/>
        <v>-0.00287832758044932+0.0408747758405084i</v>
      </c>
      <c r="BD499">
        <f t="shared" si="451"/>
        <v>-27.749410087168322</v>
      </c>
      <c r="BE499" s="43">
        <f t="shared" si="452"/>
        <v>94.028015722265081</v>
      </c>
      <c r="BF499" s="41" t="str">
        <f t="shared" si="453"/>
        <v>0.00401157832387338-0.0182893197228634i</v>
      </c>
      <c r="BG499" s="20">
        <f t="shared" si="454"/>
        <v>-34.551980271174209</v>
      </c>
      <c r="BH499" s="43">
        <f t="shared" si="455"/>
        <v>-77.628659097638632</v>
      </c>
      <c r="BI499" s="41" t="str">
        <f t="shared" si="460"/>
        <v>0.110711565429337+0.057222288093495i</v>
      </c>
      <c r="BJ499" s="20">
        <f t="shared" si="456"/>
        <v>-18.087882494723981</v>
      </c>
      <c r="BK499" s="43">
        <f t="shared" si="461"/>
        <v>27.332596423080599</v>
      </c>
      <c r="BL499">
        <f t="shared" si="457"/>
        <v>-34.551980271174209</v>
      </c>
      <c r="BM499" s="43">
        <f t="shared" si="458"/>
        <v>-77.628659097638632</v>
      </c>
    </row>
    <row r="500" spans="14:65" x14ac:dyDescent="0.25">
      <c r="N500" s="9">
        <v>82</v>
      </c>
      <c r="O500" s="34">
        <f t="shared" si="459"/>
        <v>660693.44800759677</v>
      </c>
      <c r="P500" s="33" t="str">
        <f t="shared" si="411"/>
        <v>19.6196196196196</v>
      </c>
      <c r="Q500" s="4" t="str">
        <f t="shared" si="412"/>
        <v>1+1004.84162498967i</v>
      </c>
      <c r="R500" s="4">
        <f t="shared" si="424"/>
        <v>1004.8421225803984</v>
      </c>
      <c r="S500" s="4">
        <f t="shared" si="425"/>
        <v>1.5698011454200391</v>
      </c>
      <c r="T500" s="4" t="str">
        <f t="shared" si="413"/>
        <v>1+15.6087352126675i</v>
      </c>
      <c r="U500" s="4">
        <f t="shared" si="426"/>
        <v>15.640735754406387</v>
      </c>
      <c r="V500" s="4">
        <f t="shared" si="427"/>
        <v>1.5068170763468565</v>
      </c>
      <c r="W500" t="str">
        <f t="shared" si="414"/>
        <v>1-9.08087986109314i</v>
      </c>
      <c r="X500" s="4">
        <f t="shared" si="428"/>
        <v>9.135774682620351</v>
      </c>
      <c r="Y500" s="4">
        <f t="shared" si="429"/>
        <v>-1.4611167663254705</v>
      </c>
      <c r="Z500" t="str">
        <f t="shared" si="415"/>
        <v>0.563484167759835+6.07862978456847i</v>
      </c>
      <c r="AA500" s="4">
        <f t="shared" si="430"/>
        <v>6.1046911850771712</v>
      </c>
      <c r="AB500" s="4">
        <f t="shared" si="431"/>
        <v>1.4783612838123368</v>
      </c>
      <c r="AC500" s="47" t="str">
        <f t="shared" si="432"/>
        <v>-0.452600045527606-0.0633799700700533i</v>
      </c>
      <c r="AD500" s="20">
        <f t="shared" si="433"/>
        <v>-6.8013677948183293</v>
      </c>
      <c r="AE500" s="43">
        <f t="shared" si="434"/>
        <v>-172.02840757869478</v>
      </c>
      <c r="AF500" t="str">
        <f t="shared" si="416"/>
        <v>72.2956529813786</v>
      </c>
      <c r="AG500" t="str">
        <f t="shared" si="417"/>
        <v>1+819.458598665045i</v>
      </c>
      <c r="AH500">
        <f t="shared" si="435"/>
        <v>819.45920882377015</v>
      </c>
      <c r="AI500">
        <f t="shared" si="436"/>
        <v>1.569576009496088</v>
      </c>
      <c r="AJ500" t="str">
        <f t="shared" si="418"/>
        <v>1+15.6087352126675i</v>
      </c>
      <c r="AK500">
        <f t="shared" si="437"/>
        <v>15.640735754406387</v>
      </c>
      <c r="AL500">
        <f t="shared" si="438"/>
        <v>1.5068170763468565</v>
      </c>
      <c r="AM500" t="str">
        <f t="shared" si="419"/>
        <v>1-2.00971979833852i</v>
      </c>
      <c r="AN500">
        <f t="shared" si="439"/>
        <v>2.2447658380850823</v>
      </c>
      <c r="AO500">
        <f t="shared" si="440"/>
        <v>-1.1090851463539633</v>
      </c>
      <c r="AP500" s="41" t="str">
        <f t="shared" si="441"/>
        <v>1.20323828573545-2.85426020616013i</v>
      </c>
      <c r="AQ500">
        <f t="shared" si="442"/>
        <v>9.8202613570142621</v>
      </c>
      <c r="AR500" s="43">
        <f t="shared" si="443"/>
        <v>-67.141720002926036</v>
      </c>
      <c r="AS500" t="str">
        <f t="shared" si="420"/>
        <v>-0.0000166666666666667</v>
      </c>
      <c r="AT500" t="str">
        <f t="shared" si="421"/>
        <v>0.0141142818412419i</v>
      </c>
      <c r="AU500">
        <f t="shared" si="444"/>
        <v>1.41142818412419E-2</v>
      </c>
      <c r="AV500">
        <f t="shared" si="445"/>
        <v>1.5707963267948966</v>
      </c>
      <c r="AW500" t="str">
        <f t="shared" si="422"/>
        <v>1+14.1020722548741i</v>
      </c>
      <c r="AX500">
        <f t="shared" si="446"/>
        <v>14.137483576708053</v>
      </c>
      <c r="AY500">
        <f t="shared" si="447"/>
        <v>1.5000032638355505</v>
      </c>
      <c r="AZ500" t="str">
        <f t="shared" si="423"/>
        <v>1+479.470456665718i</v>
      </c>
      <c r="BA500">
        <f t="shared" si="448"/>
        <v>479.47149948170244</v>
      </c>
      <c r="BB500">
        <f t="shared" si="449"/>
        <v>1.5687106955820767</v>
      </c>
      <c r="BC500" s="41" t="str">
        <f t="shared" si="450"/>
        <v>-0.00274942965622644+0.0399534927029801i</v>
      </c>
      <c r="BD500">
        <f t="shared" si="451"/>
        <v>-27.948387041164597</v>
      </c>
      <c r="BE500" s="43">
        <f t="shared" si="452"/>
        <v>93.936645860259119</v>
      </c>
      <c r="BF500" s="41" t="str">
        <f t="shared" si="453"/>
        <v>0.00377664315929201-0.0179086938470343i</v>
      </c>
      <c r="BG500" s="20">
        <f t="shared" si="454"/>
        <v>-34.749754835982934</v>
      </c>
      <c r="BH500" s="43">
        <f t="shared" si="455"/>
        <v>-78.091761718435649</v>
      </c>
      <c r="BI500" s="41" t="str">
        <f t="shared" si="460"/>
        <v>0.110729445292917+0.0559211597264812i</v>
      </c>
      <c r="BJ500" s="20">
        <f t="shared" si="456"/>
        <v>-18.128125684150341</v>
      </c>
      <c r="BK500" s="43">
        <f t="shared" si="461"/>
        <v>26.794925857333087</v>
      </c>
      <c r="BL500">
        <f t="shared" si="457"/>
        <v>-34.749754835982934</v>
      </c>
      <c r="BM500" s="43">
        <f t="shared" si="458"/>
        <v>-78.091761718435649</v>
      </c>
    </row>
    <row r="501" spans="14:65" x14ac:dyDescent="0.25">
      <c r="N501" s="9">
        <v>83</v>
      </c>
      <c r="O501" s="34">
        <f t="shared" si="459"/>
        <v>676082.97539198259</v>
      </c>
      <c r="P501" s="33" t="str">
        <f t="shared" si="411"/>
        <v>19.6196196196196</v>
      </c>
      <c r="Q501" s="4" t="str">
        <f t="shared" si="412"/>
        <v>1+1028.24739320393i</v>
      </c>
      <c r="R501" s="4">
        <f t="shared" si="424"/>
        <v>1028.247879468116</v>
      </c>
      <c r="S501" s="4">
        <f t="shared" si="425"/>
        <v>1.5698237984993337</v>
      </c>
      <c r="T501" s="4" t="str">
        <f t="shared" si="413"/>
        <v>1+15.9723093614885i</v>
      </c>
      <c r="U501" s="4">
        <f t="shared" si="426"/>
        <v>16.003582921930114</v>
      </c>
      <c r="V501" s="4">
        <f t="shared" si="427"/>
        <v>1.5082695850573618</v>
      </c>
      <c r="W501" t="str">
        <f t="shared" si="414"/>
        <v>1-9.29240072560004i</v>
      </c>
      <c r="X501" s="4">
        <f t="shared" si="428"/>
        <v>9.3460532442915252</v>
      </c>
      <c r="Y501" s="4">
        <f t="shared" si="429"/>
        <v>-1.4635940744458</v>
      </c>
      <c r="Z501" t="str">
        <f t="shared" si="415"/>
        <v>0.542911810385124+6.22021926121798i</v>
      </c>
      <c r="AA501" s="4">
        <f t="shared" si="430"/>
        <v>6.2438674626775041</v>
      </c>
      <c r="AB501" s="4">
        <f t="shared" si="431"/>
        <v>1.4837351796898413</v>
      </c>
      <c r="AC501" s="47" t="str">
        <f t="shared" si="432"/>
        <v>-0.453052929982468-0.0604797541237241i</v>
      </c>
      <c r="AD501" s="20">
        <f t="shared" si="433"/>
        <v>-6.8003087977916854</v>
      </c>
      <c r="AE501" s="43">
        <f t="shared" si="434"/>
        <v>-172.39632373888551</v>
      </c>
      <c r="AF501" t="str">
        <f t="shared" si="416"/>
        <v>72.2956529813786</v>
      </c>
      <c r="AG501" t="str">
        <f t="shared" si="417"/>
        <v>1+838.546241478147i</v>
      </c>
      <c r="AH501">
        <f t="shared" si="435"/>
        <v>838.54683774797377</v>
      </c>
      <c r="AI501">
        <f t="shared" si="436"/>
        <v>1.5696037872824815</v>
      </c>
      <c r="AJ501" t="str">
        <f t="shared" si="418"/>
        <v>1+15.9723093614885i</v>
      </c>
      <c r="AK501">
        <f t="shared" si="437"/>
        <v>16.003582921930114</v>
      </c>
      <c r="AL501">
        <f t="shared" si="438"/>
        <v>1.5082695850573618</v>
      </c>
      <c r="AM501" t="str">
        <f t="shared" si="419"/>
        <v>1-2.05653218608769i</v>
      </c>
      <c r="AN501">
        <f t="shared" si="439"/>
        <v>2.2867716616257545</v>
      </c>
      <c r="AO501">
        <f t="shared" si="440"/>
        <v>-1.1182046870838298</v>
      </c>
      <c r="AP501" s="41" t="str">
        <f t="shared" si="441"/>
        <v>1.2032335208477-2.91674888839071i</v>
      </c>
      <c r="AQ501">
        <f t="shared" si="442"/>
        <v>9.9804977058953988</v>
      </c>
      <c r="AR501" s="43">
        <f t="shared" si="443"/>
        <v>-67.582600128951626</v>
      </c>
      <c r="AS501" t="str">
        <f t="shared" si="420"/>
        <v>-0.0000166666666666667</v>
      </c>
      <c r="AT501" t="str">
        <f t="shared" si="421"/>
        <v>0.0144430456992184i</v>
      </c>
      <c r="AU501">
        <f t="shared" si="444"/>
        <v>1.44430456992184E-2</v>
      </c>
      <c r="AV501">
        <f t="shared" si="445"/>
        <v>1.5707963267948966</v>
      </c>
      <c r="AW501" t="str">
        <f t="shared" si="422"/>
        <v>1+14.4305517150495i</v>
      </c>
      <c r="AX501">
        <f t="shared" si="446"/>
        <v>14.465158927599727</v>
      </c>
      <c r="AY501">
        <f t="shared" si="447"/>
        <v>1.5016095136187737</v>
      </c>
      <c r="AZ501" t="str">
        <f t="shared" si="423"/>
        <v>1+490.638758311682i</v>
      </c>
      <c r="BA501">
        <f t="shared" si="448"/>
        <v>490.63977739032646</v>
      </c>
      <c r="BB501">
        <f t="shared" si="449"/>
        <v>1.5687581702115345</v>
      </c>
      <c r="BC501" s="41" t="str">
        <f t="shared" si="450"/>
        <v>-0.00262627633603151+0.0390525743838666i</v>
      </c>
      <c r="BD501">
        <f t="shared" si="451"/>
        <v>-28.147409814404568</v>
      </c>
      <c r="BE501" s="43">
        <f t="shared" si="452"/>
        <v>93.847334622738515</v>
      </c>
      <c r="BF501" s="41" t="str">
        <f t="shared" si="453"/>
        <v>0.00355173228561739-0.0175340467009049i</v>
      </c>
      <c r="BG501" s="20">
        <f t="shared" si="454"/>
        <v>-34.947718612196248</v>
      </c>
      <c r="BH501" s="43">
        <f t="shared" si="455"/>
        <v>-78.548989116146998</v>
      </c>
      <c r="BI501" s="41" t="str">
        <f t="shared" si="460"/>
        <v>0.110746529200416+0.0546495551577932i</v>
      </c>
      <c r="BJ501" s="20">
        <f t="shared" si="456"/>
        <v>-18.166912108509184</v>
      </c>
      <c r="BK501" s="43">
        <f t="shared" si="461"/>
        <v>26.264734493786928</v>
      </c>
      <c r="BL501">
        <f t="shared" si="457"/>
        <v>-34.947718612196248</v>
      </c>
      <c r="BM501" s="43">
        <f t="shared" si="458"/>
        <v>-78.548989116146998</v>
      </c>
    </row>
    <row r="502" spans="14:65" x14ac:dyDescent="0.25">
      <c r="N502" s="9">
        <v>84</v>
      </c>
      <c r="O502" s="34">
        <f t="shared" si="459"/>
        <v>691830.97091893724</v>
      </c>
      <c r="P502" s="33" t="str">
        <f t="shared" si="411"/>
        <v>19.6196196196196</v>
      </c>
      <c r="Q502" s="4" t="str">
        <f t="shared" si="412"/>
        <v>1+1052.19835179654i</v>
      </c>
      <c r="R502" s="4">
        <f t="shared" si="424"/>
        <v>1052.1988269920068</v>
      </c>
      <c r="S502" s="4">
        <f t="shared" si="425"/>
        <v>1.5698459359325543</v>
      </c>
      <c r="T502" s="4" t="str">
        <f t="shared" si="413"/>
        <v>1+16.3443522401515i</v>
      </c>
      <c r="U502" s="4">
        <f t="shared" si="426"/>
        <v>16.374915271540964</v>
      </c>
      <c r="V502" s="4">
        <f t="shared" si="427"/>
        <v>1.5096892859518432</v>
      </c>
      <c r="W502" t="str">
        <f t="shared" si="414"/>
        <v>1-9.50884854397111i</v>
      </c>
      <c r="X502" s="4">
        <f t="shared" si="428"/>
        <v>9.5612865573719468</v>
      </c>
      <c r="Y502" s="4">
        <f t="shared" si="429"/>
        <v>-1.466016269160612</v>
      </c>
      <c r="Z502" t="str">
        <f t="shared" si="415"/>
        <v>0.521369907677362+6.36510678045413i</v>
      </c>
      <c r="AA502" s="4">
        <f t="shared" si="430"/>
        <v>6.3864239529814055</v>
      </c>
      <c r="AB502" s="4">
        <f t="shared" si="431"/>
        <v>1.4890681517282942</v>
      </c>
      <c r="AC502" s="47" t="str">
        <f t="shared" si="432"/>
        <v>-0.453476161259291-0.0576043030288746i</v>
      </c>
      <c r="AD502" s="20">
        <f t="shared" si="433"/>
        <v>-6.7993915870344921</v>
      </c>
      <c r="AE502" s="43">
        <f t="shared" si="434"/>
        <v>-172.76058757533582</v>
      </c>
      <c r="AF502" t="str">
        <f t="shared" si="416"/>
        <v>72.2956529813786</v>
      </c>
      <c r="AG502" t="str">
        <f t="shared" si="417"/>
        <v>1+858.078492607953i</v>
      </c>
      <c r="AH502">
        <f t="shared" si="435"/>
        <v>858.07907530503087</v>
      </c>
      <c r="AI502">
        <f t="shared" si="436"/>
        <v>1.5696309327710396</v>
      </c>
      <c r="AJ502" t="str">
        <f t="shared" si="418"/>
        <v>1+16.3443522401515i</v>
      </c>
      <c r="AK502">
        <f t="shared" si="437"/>
        <v>16.374915271540964</v>
      </c>
      <c r="AL502">
        <f t="shared" si="438"/>
        <v>1.5096892859518432</v>
      </c>
      <c r="AM502" t="str">
        <f t="shared" si="419"/>
        <v>1-2.10443497442336i</v>
      </c>
      <c r="AN502">
        <f t="shared" si="439"/>
        <v>2.3299456134374141</v>
      </c>
      <c r="AO502">
        <f t="shared" si="440"/>
        <v>-1.1271954813374216</v>
      </c>
      <c r="AP502" s="41" t="str">
        <f t="shared" si="441"/>
        <v>1.20322897041462-2.98078406897804i</v>
      </c>
      <c r="AQ502">
        <f t="shared" si="442"/>
        <v>10.142194364528157</v>
      </c>
      <c r="AR502" s="43">
        <f t="shared" si="443"/>
        <v>-68.017947146655445</v>
      </c>
      <c r="AS502" t="str">
        <f t="shared" si="420"/>
        <v>-0.0000166666666666667</v>
      </c>
      <c r="AT502" t="str">
        <f t="shared" si="421"/>
        <v>0.0147794674512008i</v>
      </c>
      <c r="AU502">
        <f t="shared" si="444"/>
        <v>1.47794674512008E-2</v>
      </c>
      <c r="AV502">
        <f t="shared" si="445"/>
        <v>1.5707963267948966</v>
      </c>
      <c r="AW502" t="str">
        <f t="shared" si="422"/>
        <v>1+14.7666824447552i</v>
      </c>
      <c r="AX502">
        <f t="shared" si="446"/>
        <v>14.800503721976538</v>
      </c>
      <c r="AY502">
        <f t="shared" si="447"/>
        <v>1.5031795462930106</v>
      </c>
      <c r="AZ502" t="str">
        <f t="shared" si="423"/>
        <v>1+502.067203121674i</v>
      </c>
      <c r="BA502">
        <f t="shared" si="448"/>
        <v>502.06819900330305</v>
      </c>
      <c r="BB502">
        <f t="shared" si="449"/>
        <v>1.5688045641953696</v>
      </c>
      <c r="BC502" s="41" t="str">
        <f t="shared" si="450"/>
        <v>-0.00250861402919034+0.0381715973555894i</v>
      </c>
      <c r="BD502">
        <f t="shared" si="451"/>
        <v>-28.346476364423641</v>
      </c>
      <c r="BE502" s="43">
        <f t="shared" si="452"/>
        <v>93.760036556275608</v>
      </c>
      <c r="BF502" s="41" t="str">
        <f t="shared" si="453"/>
        <v>0.003336444921206-0.017165402475228i</v>
      </c>
      <c r="BG502" s="20">
        <f t="shared" si="454"/>
        <v>-35.145867951458143</v>
      </c>
      <c r="BH502" s="43">
        <f t="shared" si="455"/>
        <v>-79.000551019060183</v>
      </c>
      <c r="BI502" s="41" t="str">
        <f t="shared" si="460"/>
        <v>0.110762852209475+0.0534068085186726i</v>
      </c>
      <c r="BJ502" s="20">
        <f t="shared" si="456"/>
        <v>-18.204281999895471</v>
      </c>
      <c r="BK502" s="43">
        <f t="shared" si="461"/>
        <v>25.742089409620124</v>
      </c>
      <c r="BL502">
        <f t="shared" si="457"/>
        <v>-35.145867951458143</v>
      </c>
      <c r="BM502" s="43">
        <f t="shared" si="458"/>
        <v>-79.000551019060183</v>
      </c>
    </row>
    <row r="503" spans="14:65" x14ac:dyDescent="0.25">
      <c r="N503" s="9">
        <v>85</v>
      </c>
      <c r="O503" s="34">
        <f t="shared" si="459"/>
        <v>707945.78438413853</v>
      </c>
      <c r="P503" s="33" t="str">
        <f t="shared" si="411"/>
        <v>19.6196196196196</v>
      </c>
      <c r="Q503" s="4" t="str">
        <f t="shared" si="412"/>
        <v>1+1076.70719988276i</v>
      </c>
      <c r="R503" s="4">
        <f t="shared" si="424"/>
        <v>1076.7076642614625</v>
      </c>
      <c r="S503" s="4">
        <f t="shared" si="425"/>
        <v>1.569867569457174</v>
      </c>
      <c r="T503" s="4" t="str">
        <f t="shared" si="413"/>
        <v>1+16.7250611107153i</v>
      </c>
      <c r="U503" s="4">
        <f t="shared" si="426"/>
        <v>16.754929697171551</v>
      </c>
      <c r="V503" s="4">
        <f t="shared" si="427"/>
        <v>1.5110769088697538</v>
      </c>
      <c r="W503" t="str">
        <f t="shared" si="414"/>
        <v>1-9.73033807970471i</v>
      </c>
      <c r="X503" s="4">
        <f t="shared" si="428"/>
        <v>9.7815887843106317</v>
      </c>
      <c r="Y503" s="4">
        <f t="shared" si="429"/>
        <v>-1.468384520998971</v>
      </c>
      <c r="Z503" t="str">
        <f t="shared" si="415"/>
        <v>0.498812766372726+6.51336916355743i</v>
      </c>
      <c r="AA503" s="4">
        <f t="shared" si="430"/>
        <v>6.5324415065637771</v>
      </c>
      <c r="AB503" s="4">
        <f t="shared" si="431"/>
        <v>1.4943626099567107</v>
      </c>
      <c r="AC503" s="47" t="str">
        <f t="shared" si="432"/>
        <v>-0.453870475643135-0.0547526635975016i</v>
      </c>
      <c r="AD503" s="20">
        <f t="shared" si="433"/>
        <v>-6.7986147965999022</v>
      </c>
      <c r="AE503" s="43">
        <f t="shared" si="434"/>
        <v>-173.12136309469926</v>
      </c>
      <c r="AF503" t="str">
        <f t="shared" si="416"/>
        <v>72.2956529813786</v>
      </c>
      <c r="AG503" t="str">
        <f t="shared" si="417"/>
        <v>1+878.065708312552i</v>
      </c>
      <c r="AH503">
        <f t="shared" si="435"/>
        <v>878.06627774583376</v>
      </c>
      <c r="AI503">
        <f t="shared" si="436"/>
        <v>1.569657460354499</v>
      </c>
      <c r="AJ503" t="str">
        <f t="shared" si="418"/>
        <v>1+16.7250611107153i</v>
      </c>
      <c r="AK503">
        <f t="shared" si="437"/>
        <v>16.754929697171551</v>
      </c>
      <c r="AL503">
        <f t="shared" si="438"/>
        <v>1.5110769088697538</v>
      </c>
      <c r="AM503" t="str">
        <f t="shared" si="419"/>
        <v>1-2.15345356203795i</v>
      </c>
      <c r="AN503">
        <f t="shared" si="439"/>
        <v>2.3743130046086875</v>
      </c>
      <c r="AO503">
        <f t="shared" si="440"/>
        <v>-1.1360564810413174</v>
      </c>
      <c r="AP503" s="41" t="str">
        <f t="shared" si="441"/>
        <v>1.20322462478423-3.04639970025659i</v>
      </c>
      <c r="AQ503">
        <f t="shared" si="442"/>
        <v>10.305309349342732</v>
      </c>
      <c r="AR503" s="43">
        <f t="shared" si="443"/>
        <v>-68.447660013776272</v>
      </c>
      <c r="AS503" t="str">
        <f t="shared" si="420"/>
        <v>-0.0000166666666666667</v>
      </c>
      <c r="AT503" t="str">
        <f t="shared" si="421"/>
        <v>0.0151237254724553i</v>
      </c>
      <c r="AU503">
        <f t="shared" si="444"/>
        <v>1.51237254724553E-2</v>
      </c>
      <c r="AV503">
        <f t="shared" si="445"/>
        <v>1.5707963267948966</v>
      </c>
      <c r="AW503" t="str">
        <f t="shared" si="422"/>
        <v>1+15.1106426649532i</v>
      </c>
      <c r="AX503">
        <f t="shared" si="446"/>
        <v>15.143695775731363</v>
      </c>
      <c r="AY503">
        <f t="shared" si="447"/>
        <v>1.5047141633318843</v>
      </c>
      <c r="AZ503" t="str">
        <f t="shared" si="423"/>
        <v>1+513.761850608408i</v>
      </c>
      <c r="BA503">
        <f t="shared" si="448"/>
        <v>513.76282382104694</v>
      </c>
      <c r="BB503">
        <f t="shared" si="449"/>
        <v>1.5688499021314866</v>
      </c>
      <c r="BC503" s="41" t="str">
        <f t="shared" si="450"/>
        <v>-0.00239620012663309+0.0373101451051584i</v>
      </c>
      <c r="BD503">
        <f t="shared" si="451"/>
        <v>-28.545584738958173</v>
      </c>
      <c r="BE503" s="43">
        <f t="shared" si="452"/>
        <v>93.674707149170644</v>
      </c>
      <c r="BF503" s="41" t="str">
        <f t="shared" si="453"/>
        <v>0.00313039431492781-0.0168027749657468i</v>
      </c>
      <c r="BG503" s="20">
        <f t="shared" si="454"/>
        <v>-35.344199535558069</v>
      </c>
      <c r="BH503" s="43">
        <f t="shared" si="455"/>
        <v>-79.446655945528605</v>
      </c>
      <c r="BI503" s="41" t="str">
        <f t="shared" si="460"/>
        <v>0.110778447866608+0.0521922686923292i</v>
      </c>
      <c r="BJ503" s="20">
        <f t="shared" si="456"/>
        <v>-18.240275389615462</v>
      </c>
      <c r="BK503" s="43">
        <f t="shared" si="461"/>
        <v>25.227047135394454</v>
      </c>
      <c r="BL503">
        <f t="shared" si="457"/>
        <v>-35.344199535558069</v>
      </c>
      <c r="BM503" s="43">
        <f t="shared" si="458"/>
        <v>-79.446655945528605</v>
      </c>
    </row>
    <row r="504" spans="14:65" x14ac:dyDescent="0.25">
      <c r="N504" s="9">
        <v>86</v>
      </c>
      <c r="O504" s="34">
        <f t="shared" si="459"/>
        <v>724435.96007499192</v>
      </c>
      <c r="P504" s="33" t="str">
        <f t="shared" si="411"/>
        <v>19.6196196196196</v>
      </c>
      <c r="Q504" s="4" t="str">
        <f t="shared" si="412"/>
        <v>1+1101.78693237826i</v>
      </c>
      <c r="R504" s="4">
        <f t="shared" si="424"/>
        <v>1101.7873861864168</v>
      </c>
      <c r="S504" s="4">
        <f t="shared" si="425"/>
        <v>1.5698887105434929</v>
      </c>
      <c r="T504" s="4" t="str">
        <f t="shared" si="413"/>
        <v>1+17.1146378300623i</v>
      </c>
      <c r="U504" s="4">
        <f t="shared" si="426"/>
        <v>17.143827695535197</v>
      </c>
      <c r="V504" s="4">
        <f t="shared" si="427"/>
        <v>1.5124331681601439</v>
      </c>
      <c r="W504" t="str">
        <f t="shared" si="414"/>
        <v>1-9.95698676948441i</v>
      </c>
      <c r="X504" s="4">
        <f t="shared" si="428"/>
        <v>10.007076772349034</v>
      </c>
      <c r="Y504" s="4">
        <f t="shared" si="429"/>
        <v>-1.4706999793203486</v>
      </c>
      <c r="Z504" t="str">
        <f t="shared" si="415"/>
        <v>0.475192539750224+6.66508502120589i</v>
      </c>
      <c r="AA504" s="4">
        <f t="shared" si="430"/>
        <v>6.6820031644513156</v>
      </c>
      <c r="AB504" s="4">
        <f t="shared" si="431"/>
        <v>1.4996209650319849</v>
      </c>
      <c r="AC504" s="47" t="str">
        <f t="shared" si="432"/>
        <v>-0.454236563157435-0.0519238676664557i</v>
      </c>
      <c r="AD504" s="20">
        <f t="shared" si="433"/>
        <v>-6.7979773020089009</v>
      </c>
      <c r="AE504" s="43">
        <f t="shared" si="434"/>
        <v>-173.47881399890267</v>
      </c>
      <c r="AF504" t="str">
        <f t="shared" si="416"/>
        <v>72.2956529813786</v>
      </c>
      <c r="AG504" t="str">
        <f t="shared" si="417"/>
        <v>1+898.518486078273i</v>
      </c>
      <c r="AH504">
        <f t="shared" si="435"/>
        <v>898.51904254967883</v>
      </c>
      <c r="AI504">
        <f t="shared" si="436"/>
        <v>1.5696833840979865</v>
      </c>
      <c r="AJ504" t="str">
        <f t="shared" si="418"/>
        <v>1+17.1146378300623i</v>
      </c>
      <c r="AK504">
        <f t="shared" si="437"/>
        <v>17.143827695535197</v>
      </c>
      <c r="AL504">
        <f t="shared" si="438"/>
        <v>1.5124331681601439</v>
      </c>
      <c r="AM504" t="str">
        <f t="shared" si="419"/>
        <v>1-2.20361393923547i</v>
      </c>
      <c r="AN504">
        <f t="shared" si="439"/>
        <v>2.419899665935112</v>
      </c>
      <c r="AO504">
        <f t="shared" si="440"/>
        <v>-1.1447868174680935</v>
      </c>
      <c r="AP504" s="41" t="str">
        <f>(IMDIV(IMPRODUCT(AF504,AJ504,AM504),IMPRODUCT(AG504)))</f>
        <v>1.20322047473892-3.11363057253447i</v>
      </c>
      <c r="AQ504">
        <f t="shared" si="442"/>
        <v>10.469801035576204</v>
      </c>
      <c r="AR504" s="43">
        <f t="shared" si="443"/>
        <v>-68.871648832586075</v>
      </c>
      <c r="AS504" t="str">
        <f t="shared" si="420"/>
        <v>-0.0000166666666666667</v>
      </c>
      <c r="AT504" t="str">
        <f t="shared" si="421"/>
        <v>0.0154760022931415i</v>
      </c>
      <c r="AU504">
        <f t="shared" si="444"/>
        <v>1.54760022931415E-2</v>
      </c>
      <c r="AV504">
        <f t="shared" si="445"/>
        <v>1.5707963267948966</v>
      </c>
      <c r="AW504" t="str">
        <f t="shared" si="422"/>
        <v>1+15.4626147479052i</v>
      </c>
      <c r="AX504">
        <f t="shared" si="446"/>
        <v>15.494917064706588</v>
      </c>
      <c r="AY504">
        <f t="shared" si="447"/>
        <v>1.5062141494806005</v>
      </c>
      <c r="AZ504" t="str">
        <f t="shared" si="423"/>
        <v>1+525.728901428777i</v>
      </c>
      <c r="BA504">
        <f t="shared" si="448"/>
        <v>525.72985248843224</v>
      </c>
      <c r="BB504">
        <f t="shared" si="449"/>
        <v>1.5688942080579136</v>
      </c>
      <c r="BC504" s="41" t="str">
        <f t="shared" si="450"/>
        <v>-0.00228880254406417+0.0364678081448396i</v>
      </c>
      <c r="BD504">
        <f t="shared" si="451"/>
        <v>-28.744733072035949</v>
      </c>
      <c r="BE504" s="43">
        <f t="shared" si="452"/>
        <v>93.591302816112815</v>
      </c>
      <c r="BF504" s="41" t="str">
        <f t="shared" si="453"/>
        <v>0.00293320744556005-0.016446168357184i</v>
      </c>
      <c r="BG504" s="20">
        <f t="shared" si="454"/>
        <v>-35.542710374044859</v>
      </c>
      <c r="BH504" s="43">
        <f t="shared" si="455"/>
        <v>-79.887511182789837</v>
      </c>
      <c r="BI504" s="41" t="str">
        <f t="shared" si="460"/>
        <v>0.110793348269442+0.0510052990044146i</v>
      </c>
      <c r="BJ504" s="20">
        <f t="shared" si="456"/>
        <v>-18.274932036459724</v>
      </c>
      <c r="BK504" s="43">
        <f t="shared" si="461"/>
        <v>24.719653983526669</v>
      </c>
      <c r="BL504">
        <f t="shared" si="457"/>
        <v>-35.542710374044859</v>
      </c>
      <c r="BM504" s="43">
        <f t="shared" si="458"/>
        <v>-79.887511182789837</v>
      </c>
    </row>
    <row r="505" spans="14:65" x14ac:dyDescent="0.25">
      <c r="N505" s="9">
        <v>87</v>
      </c>
      <c r="O505" s="34">
        <f t="shared" si="459"/>
        <v>741310.24130091805</v>
      </c>
      <c r="P505" s="33" t="str">
        <f t="shared" si="411"/>
        <v>19.6196196196196</v>
      </c>
      <c r="Q505" s="4" t="str">
        <f t="shared" si="412"/>
        <v>1+1127.45084688918i</v>
      </c>
      <c r="R505" s="4">
        <f t="shared" si="424"/>
        <v>1127.4512903674063</v>
      </c>
      <c r="S505" s="4">
        <f t="shared" si="425"/>
        <v>1.569909370400719</v>
      </c>
      <c r="T505" s="4" t="str">
        <f t="shared" si="413"/>
        <v>1+17.5132889569258i</v>
      </c>
      <c r="U505" s="4">
        <f t="shared" si="426"/>
        <v>17.541815472999911</v>
      </c>
      <c r="V505" s="4">
        <f t="shared" si="427"/>
        <v>1.5137587629603069</v>
      </c>
      <c r="W505" t="str">
        <f t="shared" si="414"/>
        <v>1-10.1889147854456i</v>
      </c>
      <c r="X505" s="4">
        <f t="shared" si="428"/>
        <v>10.237870115657454</v>
      </c>
      <c r="Y505" s="4">
        <f t="shared" si="429"/>
        <v>-1.4729637724451965</v>
      </c>
      <c r="Z505" t="str">
        <f t="shared" si="415"/>
        <v>0.450459126142377+6.82033479515538i</v>
      </c>
      <c r="AA505" s="4">
        <f t="shared" si="430"/>
        <v>6.8351942285740588</v>
      </c>
      <c r="AB505" s="4">
        <f t="shared" si="431"/>
        <v>1.5048456278424165</v>
      </c>
      <c r="AC505" s="47" t="str">
        <f t="shared" si="432"/>
        <v>-0.45457506793876-0.0491169336817486i</v>
      </c>
      <c r="AD505" s="20">
        <f t="shared" si="433"/>
        <v>-6.797478221870346</v>
      </c>
      <c r="AE505" s="43">
        <f t="shared" si="434"/>
        <v>-173.83310365429446</v>
      </c>
      <c r="AF505" t="str">
        <f t="shared" si="416"/>
        <v>72.2956529813786</v>
      </c>
      <c r="AG505" t="str">
        <f t="shared" si="417"/>
        <v>1+919.447670238606i</v>
      </c>
      <c r="AH505">
        <f t="shared" si="435"/>
        <v>919.44821404318384</v>
      </c>
      <c r="AI505">
        <f t="shared" si="436"/>
        <v>1.5697087177464746</v>
      </c>
      <c r="AJ505" t="str">
        <f t="shared" si="418"/>
        <v>1+17.5132889569258i</v>
      </c>
      <c r="AK505">
        <f t="shared" si="437"/>
        <v>17.541815472999911</v>
      </c>
      <c r="AL505">
        <f t="shared" si="438"/>
        <v>1.5137587629603069</v>
      </c>
      <c r="AM505" t="str">
        <f t="shared" si="419"/>
        <v>1-2.25494270171184i</v>
      </c>
      <c r="AN505">
        <f t="shared" si="439"/>
        <v>2.4667319651724409</v>
      </c>
      <c r="AO505">
        <f t="shared" si="440"/>
        <v>-1.1533857952047981</v>
      </c>
      <c r="AP505" s="41" t="str">
        <f t="shared" si="441"/>
        <v>1.20321651147598-3.18251233253983i</v>
      </c>
      <c r="AQ505">
        <f t="shared" si="442"/>
        <v>10.635628220266257</v>
      </c>
      <c r="AR505" s="43">
        <f t="shared" si="443"/>
        <v>-69.289834488770325</v>
      </c>
      <c r="AS505" t="str">
        <f t="shared" si="420"/>
        <v>-0.0000166666666666667</v>
      </c>
      <c r="AT505" t="str">
        <f t="shared" si="421"/>
        <v>0.0158364846950925i</v>
      </c>
      <c r="AU505">
        <f t="shared" si="444"/>
        <v>1.5836484695092499E-2</v>
      </c>
      <c r="AV505">
        <f t="shared" si="445"/>
        <v>1.5707963267948966</v>
      </c>
      <c r="AW505" t="str">
        <f t="shared" si="422"/>
        <v>1+15.8227853138684i</v>
      </c>
      <c r="AX505">
        <f t="shared" si="446"/>
        <v>15.854353821230605</v>
      </c>
      <c r="AY505">
        <f t="shared" si="447"/>
        <v>1.5076802730372105</v>
      </c>
      <c r="AZ505" t="str">
        <f t="shared" si="423"/>
        <v>1+537.974700671525i</v>
      </c>
      <c r="BA505">
        <f t="shared" si="448"/>
        <v>537.97563008245731</v>
      </c>
      <c r="BB505">
        <f t="shared" si="449"/>
        <v>1.568937505465543</v>
      </c>
      <c r="BC505" s="41" t="str">
        <f t="shared" si="450"/>
        <v>-0.00218619928247377+0.0356441840117387i</v>
      </c>
      <c r="BD505">
        <f t="shared" si="451"/>
        <v>-28.94391958022997</v>
      </c>
      <c r="BE505" s="43">
        <f t="shared" si="452"/>
        <v>93.509780882795397</v>
      </c>
      <c r="BF505" s="41" t="str">
        <f t="shared" si="453"/>
        <v>0.0027445247096028-0.0160955779635854i</v>
      </c>
      <c r="BG505" s="20">
        <f t="shared" si="454"/>
        <v>-35.74139780210033</v>
      </c>
      <c r="BH505" s="43">
        <f t="shared" si="455"/>
        <v>-80.323322771499022</v>
      </c>
      <c r="BI505" s="41" t="str">
        <f t="shared" si="460"/>
        <v>0.110807584126628+0.0498452769188746i</v>
      </c>
      <c r="BJ505" s="20">
        <f t="shared" si="456"/>
        <v>-18.308291359963718</v>
      </c>
      <c r="BK505" s="43">
        <f t="shared" si="461"/>
        <v>24.219946394025083</v>
      </c>
      <c r="BL505">
        <f t="shared" si="457"/>
        <v>-35.74139780210033</v>
      </c>
      <c r="BM505" s="43">
        <f t="shared" si="458"/>
        <v>-80.323322771499022</v>
      </c>
    </row>
    <row r="506" spans="14:65" x14ac:dyDescent="0.25">
      <c r="N506" s="9">
        <v>88</v>
      </c>
      <c r="O506" s="34">
        <f t="shared" si="459"/>
        <v>758577.57502918423</v>
      </c>
      <c r="P506" s="33" t="str">
        <f t="shared" si="411"/>
        <v>19.6196196196196</v>
      </c>
      <c r="Q506" s="4" t="str">
        <f t="shared" si="412"/>
        <v>1+1153.7125507627i</v>
      </c>
      <c r="R506" s="4">
        <f t="shared" si="424"/>
        <v>1153.7129841461331</v>
      </c>
      <c r="S506" s="4">
        <f t="shared" si="425"/>
        <v>1.5699295599829115</v>
      </c>
      <c r="T506" s="4" t="str">
        <f t="shared" si="413"/>
        <v>1+17.9212258614101i</v>
      </c>
      <c r="U506" s="4">
        <f t="shared" si="426"/>
        <v>17.949104054957012</v>
      </c>
      <c r="V506" s="4">
        <f t="shared" si="427"/>
        <v>1.5150543774729122</v>
      </c>
      <c r="W506" t="str">
        <f t="shared" si="414"/>
        <v>1-10.4262450988922i</v>
      </c>
      <c r="X506" s="4">
        <f t="shared" si="428"/>
        <v>10.474091218916017</v>
      </c>
      <c r="Y506" s="4">
        <f t="shared" si="429"/>
        <v>-1.4751770078044948</v>
      </c>
      <c r="Z506" t="str">
        <f t="shared" si="415"/>
        <v>0.424560062662843+6.9792008008911i</v>
      </c>
      <c r="AA506" s="4">
        <f t="shared" si="430"/>
        <v>6.9921023352041445</v>
      </c>
      <c r="AB506" s="4">
        <f t="shared" si="431"/>
        <v>1.510039009182639</v>
      </c>
      <c r="AC506" s="47" t="str">
        <f t="shared" si="432"/>
        <v>-0.454886588613359-0.0463308682014297i</v>
      </c>
      <c r="AD506" s="20">
        <f t="shared" si="433"/>
        <v>-6.7971169196287606</v>
      </c>
      <c r="AE506" s="43">
        <f t="shared" si="434"/>
        <v>-174.18439506604969</v>
      </c>
      <c r="AF506" t="str">
        <f t="shared" si="416"/>
        <v>72.2956529813786</v>
      </c>
      <c r="AG506" t="str">
        <f t="shared" si="417"/>
        <v>1+940.864357724031i</v>
      </c>
      <c r="AH506">
        <f t="shared" si="435"/>
        <v>940.8648891501125</v>
      </c>
      <c r="AI506">
        <f t="shared" si="436"/>
        <v>1.5697334747320684</v>
      </c>
      <c r="AJ506" t="str">
        <f t="shared" si="418"/>
        <v>1+17.9212258614101i</v>
      </c>
      <c r="AK506">
        <f t="shared" si="437"/>
        <v>17.949104054957012</v>
      </c>
      <c r="AL506">
        <f t="shared" si="438"/>
        <v>1.5150543774729122</v>
      </c>
      <c r="AM506" t="str">
        <f t="shared" si="419"/>
        <v>1-2.30746706465635i</v>
      </c>
      <c r="AN506">
        <f t="shared" si="439"/>
        <v>2.5148368246217871</v>
      </c>
      <c r="AO506">
        <f t="shared" si="440"/>
        <v>-1.1618528858688664</v>
      </c>
      <c r="AP506" s="41" t="str">
        <f t="shared" si="441"/>
        <v>1.20321272658883-3.25308150232131i</v>
      </c>
      <c r="AQ506">
        <f t="shared" si="442"/>
        <v>10.80275018041343</v>
      </c>
      <c r="AR506" s="43">
        <f t="shared" si="443"/>
        <v>-69.702148275915974</v>
      </c>
      <c r="AS506" t="str">
        <f t="shared" si="420"/>
        <v>-0.0000166666666666667</v>
      </c>
      <c r="AT506" t="str">
        <f t="shared" si="421"/>
        <v>0.0162053638108496i</v>
      </c>
      <c r="AU506">
        <f t="shared" si="444"/>
        <v>1.62053638108496E-2</v>
      </c>
      <c r="AV506">
        <f t="shared" si="445"/>
        <v>1.5707963267948966</v>
      </c>
      <c r="AW506" t="str">
        <f t="shared" si="422"/>
        <v>1+16.1913453300444i</v>
      </c>
      <c r="AX506">
        <f t="shared" si="446"/>
        <v>16.222196632908584</v>
      </c>
      <c r="AY506">
        <f t="shared" si="447"/>
        <v>1.5091132861339425</v>
      </c>
      <c r="AZ506" t="str">
        <f t="shared" si="423"/>
        <v>1+550.505741221508i</v>
      </c>
      <c r="BA506">
        <f t="shared" si="448"/>
        <v>550.50664947649989</v>
      </c>
      <c r="BB506">
        <f t="shared" si="449"/>
        <v>1.5689798173105838</v>
      </c>
      <c r="BC506" s="41" t="str">
        <f t="shared" si="450"/>
        <v>-0.00208817800548394+0.0348388772572246i</v>
      </c>
      <c r="BD506">
        <f t="shared" si="451"/>
        <v>-29.143142559068149</v>
      </c>
      <c r="BE506" s="43">
        <f t="shared" si="452"/>
        <v>93.430099570509896</v>
      </c>
      <c r="BF506" s="41" t="str">
        <f t="shared" si="453"/>
        <v>0.0025639995998223-0.0157509909267052i</v>
      </c>
      <c r="BG506" s="20">
        <f t="shared" si="454"/>
        <v>-35.94025947869693</v>
      </c>
      <c r="BH506" s="43">
        <f t="shared" si="455"/>
        <v>-80.754295495539765</v>
      </c>
      <c r="BI506" s="41" t="str">
        <f t="shared" si="460"/>
        <v>0.110821184815539+0.0487115937391528i</v>
      </c>
      <c r="BJ506" s="20">
        <f t="shared" si="456"/>
        <v>-18.340392378654702</v>
      </c>
      <c r="BK506" s="43">
        <f t="shared" si="461"/>
        <v>23.727951294593876</v>
      </c>
      <c r="BL506">
        <f t="shared" si="457"/>
        <v>-35.94025947869693</v>
      </c>
      <c r="BM506" s="43">
        <f t="shared" si="458"/>
        <v>-80.754295495539765</v>
      </c>
    </row>
    <row r="507" spans="14:65" x14ac:dyDescent="0.25">
      <c r="N507" s="9">
        <v>89</v>
      </c>
      <c r="O507" s="34">
        <f t="shared" si="459"/>
        <v>776247.11662869214</v>
      </c>
      <c r="P507" s="33" t="str">
        <f t="shared" si="411"/>
        <v>19.6196196196196</v>
      </c>
      <c r="Q507" s="4" t="str">
        <f t="shared" si="412"/>
        <v>1+1180.58596830183i</v>
      </c>
      <c r="R507" s="4">
        <f t="shared" si="424"/>
        <v>1180.5863918202554</v>
      </c>
      <c r="S507" s="4">
        <f t="shared" si="425"/>
        <v>1.5699492899947884</v>
      </c>
      <c r="T507" s="4" t="str">
        <f t="shared" si="413"/>
        <v>1+18.3386648370616i</v>
      </c>
      <c r="U507" s="4">
        <f t="shared" si="426"/>
        <v>18.365909397742318</v>
      </c>
      <c r="V507" s="4">
        <f t="shared" si="427"/>
        <v>1.5163206812413503</v>
      </c>
      <c r="W507" t="str">
        <f t="shared" si="414"/>
        <v>1-10.669103545498i</v>
      </c>
      <c r="X507" s="4">
        <f t="shared" si="428"/>
        <v>10.715865362375455</v>
      </c>
      <c r="Y507" s="4">
        <f t="shared" si="429"/>
        <v>-1.4773407721065399</v>
      </c>
      <c r="Z507" t="str">
        <f t="shared" si="415"/>
        <v>0.397440413925642+7.14176727127209i</v>
      </c>
      <c r="AA507" s="4">
        <f t="shared" si="430"/>
        <v>7.1528175315489886</v>
      </c>
      <c r="AB507" s="4">
        <f t="shared" si="431"/>
        <v>1.515203519494448</v>
      </c>
      <c r="AC507" s="47" t="str">
        <f t="shared" si="432"/>
        <v>-0.455171678670245-0.0435646673224011i</v>
      </c>
      <c r="AD507" s="20">
        <f t="shared" si="433"/>
        <v>-6.7968930054664254</v>
      </c>
      <c r="AE507" s="43">
        <f t="shared" si="434"/>
        <v>-174.53285085743369</v>
      </c>
      <c r="AF507" t="str">
        <f t="shared" si="416"/>
        <v>72.2956529813786</v>
      </c>
      <c r="AG507" t="str">
        <f t="shared" si="417"/>
        <v>1+962.779903945735i</v>
      </c>
      <c r="AH507">
        <f t="shared" si="435"/>
        <v>962.78042327508854</v>
      </c>
      <c r="AI507">
        <f t="shared" si="436"/>
        <v>1.5697576681811285</v>
      </c>
      <c r="AJ507" t="str">
        <f t="shared" si="418"/>
        <v>1+18.3386648370616i</v>
      </c>
      <c r="AK507">
        <f t="shared" si="437"/>
        <v>18.365909397742318</v>
      </c>
      <c r="AL507">
        <f t="shared" si="438"/>
        <v>1.5163206812413503</v>
      </c>
      <c r="AM507" t="str">
        <f t="shared" si="419"/>
        <v>1-2.36121487718149i</v>
      </c>
      <c r="AN507">
        <f t="shared" si="439"/>
        <v>2.5642417390377212</v>
      </c>
      <c r="AO507">
        <f t="shared" si="440"/>
        <v>-1.1701877216197571</v>
      </c>
      <c r="AP507" s="41" t="str">
        <f t="shared" si="441"/>
        <v>1.20320911204928-3.32537549861275i</v>
      </c>
      <c r="AQ507">
        <f t="shared" si="442"/>
        <v>10.971126726339476</v>
      </c>
      <c r="AR507" s="43">
        <f t="shared" si="443"/>
        <v>-70.108531508386903</v>
      </c>
      <c r="AS507" t="str">
        <f t="shared" si="420"/>
        <v>-0.0000166666666666667</v>
      </c>
      <c r="AT507" t="str">
        <f t="shared" si="421"/>
        <v>0.0165828352250025i</v>
      </c>
      <c r="AU507">
        <f t="shared" si="444"/>
        <v>1.65828352250025E-2</v>
      </c>
      <c r="AV507">
        <f t="shared" si="445"/>
        <v>1.5707963267948966</v>
      </c>
      <c r="AW507" t="str">
        <f t="shared" si="422"/>
        <v>1+16.5684902118321i</v>
      </c>
      <c r="AX507">
        <f t="shared" si="446"/>
        <v>16.598640543718517</v>
      </c>
      <c r="AY507">
        <f t="shared" si="447"/>
        <v>1.5105139250181818</v>
      </c>
      <c r="AZ507" t="str">
        <f t="shared" si="423"/>
        <v>1+563.328667202292i</v>
      </c>
      <c r="BA507">
        <f t="shared" si="448"/>
        <v>563.3295547829091</v>
      </c>
      <c r="BB507">
        <f t="shared" si="449"/>
        <v>1.5690211660267299</v>
      </c>
      <c r="BC507" s="41" t="str">
        <f t="shared" si="450"/>
        <v>-0.00199453563302287+0.0340514994270459i</v>
      </c>
      <c r="BD507">
        <f t="shared" si="451"/>
        <v>-29.342400379594569</v>
      </c>
      <c r="BE507" s="43">
        <f t="shared" si="452"/>
        <v>93.352217980744541</v>
      </c>
      <c r="BF507" s="41" t="str">
        <f t="shared" si="453"/>
        <v>0.00239129837661883-0.0154123868741321i</v>
      </c>
      <c r="BG507" s="20">
        <f t="shared" si="454"/>
        <v>-36.139293385060967</v>
      </c>
      <c r="BH507" s="43">
        <f t="shared" si="455"/>
        <v>-81.180632876689174</v>
      </c>
      <c r="BI507" s="41" t="str">
        <f t="shared" si="460"/>
        <v>0.110834178437764+0.0476036543147268i</v>
      </c>
      <c r="BJ507" s="20">
        <f t="shared" si="456"/>
        <v>-18.37127365325512</v>
      </c>
      <c r="BK507" s="43">
        <f t="shared" si="461"/>
        <v>23.243686472357734</v>
      </c>
      <c r="BL507">
        <f t="shared" si="457"/>
        <v>-36.139293385060967</v>
      </c>
      <c r="BM507" s="43">
        <f t="shared" si="458"/>
        <v>-81.180632876689174</v>
      </c>
    </row>
    <row r="508" spans="14:65" x14ac:dyDescent="0.25">
      <c r="N508" s="9">
        <v>90</v>
      </c>
      <c r="O508" s="34">
        <f t="shared" si="459"/>
        <v>794328.23472428333</v>
      </c>
      <c r="P508" s="33" t="str">
        <f t="shared" si="411"/>
        <v>19.6196196196196</v>
      </c>
      <c r="Q508" s="4" t="str">
        <f t="shared" si="412"/>
        <v>1+1208.08534814825i</v>
      </c>
      <c r="R508" s="4">
        <f t="shared" si="424"/>
        <v>1208.0857620262225</v>
      </c>
      <c r="S508" s="4">
        <f t="shared" si="425"/>
        <v>1.5699685708974018</v>
      </c>
      <c r="T508" s="4" t="str">
        <f t="shared" si="413"/>
        <v>1+18.7658272155507i</v>
      </c>
      <c r="U508" s="4">
        <f t="shared" si="426"/>
        <v>18.792452503170079</v>
      </c>
      <c r="V508" s="4">
        <f t="shared" si="427"/>
        <v>1.5175583294230384</v>
      </c>
      <c r="W508" t="str">
        <f t="shared" si="414"/>
        <v>1-10.9176188920258i</v>
      </c>
      <c r="X508" s="4">
        <f t="shared" si="428"/>
        <v>10.963320768431373</v>
      </c>
      <c r="Y508" s="4">
        <f t="shared" si="429"/>
        <v>-1.4794561315193346</v>
      </c>
      <c r="Z508" t="str">
        <f t="shared" si="415"/>
        <v>0.369042655519805+7.30812040119279i</v>
      </c>
      <c r="AA508" s="4">
        <f t="shared" si="430"/>
        <v>7.3174323556780063</v>
      </c>
      <c r="AB508" s="4">
        <f t="shared" si="431"/>
        <v>1.520341568668208</v>
      </c>
      <c r="AC508" s="47" t="str">
        <f t="shared" si="432"/>
        <v>-0.4554308468259-0.0408173180365773i</v>
      </c>
      <c r="AD508" s="20">
        <f t="shared" si="433"/>
        <v>-6.7968063383874666</v>
      </c>
      <c r="AE508" s="43">
        <f t="shared" si="434"/>
        <v>-174.87863325353939</v>
      </c>
      <c r="AF508" t="str">
        <f t="shared" si="416"/>
        <v>72.2956529813786</v>
      </c>
      <c r="AG508" t="str">
        <f t="shared" si="417"/>
        <v>1+985.20592881641i</v>
      </c>
      <c r="AH508">
        <f t="shared" si="435"/>
        <v>985.20643632439032</v>
      </c>
      <c r="AI508">
        <f t="shared" si="436"/>
        <v>1.5697813109212282</v>
      </c>
      <c r="AJ508" t="str">
        <f t="shared" si="418"/>
        <v>1+18.7658272155507i</v>
      </c>
      <c r="AK508">
        <f t="shared" si="437"/>
        <v>18.792452503170079</v>
      </c>
      <c r="AL508">
        <f t="shared" si="438"/>
        <v>1.5175583294230384</v>
      </c>
      <c r="AM508" t="str">
        <f t="shared" si="419"/>
        <v>1-2.41621463708888i</v>
      </c>
      <c r="AN508">
        <f t="shared" si="439"/>
        <v>2.6149747938522365</v>
      </c>
      <c r="AO508">
        <f t="shared" si="440"/>
        <v>-1.1783900885122547</v>
      </c>
      <c r="AP508" s="41" t="str">
        <f t="shared" si="441"/>
        <v>1.20320566019049-3.39943265267207i</v>
      </c>
      <c r="AQ508">
        <f t="shared" si="442"/>
        <v>11.140718250299491</v>
      </c>
      <c r="AR508" s="43">
        <f t="shared" si="443"/>
        <v>-70.508935125235737</v>
      </c>
      <c r="AS508" t="str">
        <f t="shared" si="420"/>
        <v>-0.0000166666666666667</v>
      </c>
      <c r="AT508" t="str">
        <f t="shared" si="421"/>
        <v>0.0169690990778916i</v>
      </c>
      <c r="AU508">
        <f t="shared" si="444"/>
        <v>1.6969099077891601E-2</v>
      </c>
      <c r="AV508">
        <f t="shared" si="445"/>
        <v>1.5707963267948966</v>
      </c>
      <c r="AW508" t="str">
        <f t="shared" si="422"/>
        <v>1+16.9544199264401i</v>
      </c>
      <c r="AX508">
        <f t="shared" si="446"/>
        <v>16.983885157468215</v>
      </c>
      <c r="AY508">
        <f t="shared" si="447"/>
        <v>1.5118829103327256</v>
      </c>
      <c r="AZ508" t="str">
        <f t="shared" si="423"/>
        <v>1+576.450277498963i</v>
      </c>
      <c r="BA508">
        <f t="shared" si="448"/>
        <v>576.45114487580952</v>
      </c>
      <c r="BB508">
        <f t="shared" si="449"/>
        <v>1.5690615735370519</v>
      </c>
      <c r="BC508" s="41" t="str">
        <f t="shared" si="450"/>
        <v>-0.00190507795082187+0.0332816690329489i</v>
      </c>
      <c r="BD508">
        <f t="shared" si="451"/>
        <v>-29.54169148507529</v>
      </c>
      <c r="BE508" s="43">
        <f t="shared" si="452"/>
        <v>93.276096079807871</v>
      </c>
      <c r="BF508" s="41" t="str">
        <f t="shared" si="453"/>
        <v>0.00222609973411814-0.0150797385388521i</v>
      </c>
      <c r="BG508" s="20">
        <f t="shared" si="454"/>
        <v>-36.338497823462752</v>
      </c>
      <c r="BH508" s="43">
        <f t="shared" si="455"/>
        <v>-81.602537173731534</v>
      </c>
      <c r="BI508" s="41" t="str">
        <f t="shared" si="460"/>
        <v>0.110846591872498+0.0465208767529401i</v>
      </c>
      <c r="BJ508" s="20">
        <f t="shared" si="456"/>
        <v>-18.400973234775829</v>
      </c>
      <c r="BK508" s="43">
        <f t="shared" si="461"/>
        <v>22.767160954572216</v>
      </c>
      <c r="BL508">
        <f t="shared" si="457"/>
        <v>-36.338497823462752</v>
      </c>
      <c r="BM508" s="43">
        <f t="shared" si="458"/>
        <v>-81.602537173731534</v>
      </c>
    </row>
    <row r="509" spans="14:65" x14ac:dyDescent="0.25">
      <c r="N509" s="9">
        <v>91</v>
      </c>
      <c r="O509" s="34">
        <f t="shared" si="459"/>
        <v>812830.51616410096</v>
      </c>
      <c r="P509" s="33" t="str">
        <f t="shared" si="411"/>
        <v>19.6196196196196</v>
      </c>
      <c r="Q509" s="4" t="str">
        <f t="shared" si="412"/>
        <v>1+1236.22527083716i</v>
      </c>
      <c r="R509" s="4">
        <f t="shared" si="424"/>
        <v>1236.2256752941225</v>
      </c>
      <c r="S509" s="4">
        <f t="shared" si="425"/>
        <v>1.5699874129136839</v>
      </c>
      <c r="T509" s="4" t="str">
        <f t="shared" si="413"/>
        <v>1+19.2029394840244i</v>
      </c>
      <c r="U509" s="4">
        <f t="shared" si="426"/>
        <v>19.228959535739403</v>
      </c>
      <c r="V509" s="4">
        <f t="shared" si="427"/>
        <v>1.5187679630604582</v>
      </c>
      <c r="W509" t="str">
        <f t="shared" si="414"/>
        <v>1-11.171922904602i</v>
      </c>
      <c r="X509" s="4">
        <f t="shared" si="428"/>
        <v>11.216588669750301</v>
      </c>
      <c r="Y509" s="4">
        <f t="shared" si="429"/>
        <v>-1.4815241318670733</v>
      </c>
      <c r="Z509" t="str">
        <f t="shared" si="415"/>
        <v>0.339306551992402+7.47834839328459i</v>
      </c>
      <c r="AA509" s="4">
        <f t="shared" si="430"/>
        <v>7.4860419199712736</v>
      </c>
      <c r="AB509" s="4">
        <f t="shared" si="431"/>
        <v>1.5254555658995932</v>
      </c>
      <c r="AC509" s="47" t="str">
        <f t="shared" si="432"/>
        <v>-0.455664557376363-0.0380877995218717i</v>
      </c>
      <c r="AD509" s="20">
        <f t="shared" si="433"/>
        <v>-6.7968570285059897</v>
      </c>
      <c r="AE509" s="43">
        <f t="shared" si="434"/>
        <v>-175.22190406912563</v>
      </c>
      <c r="AF509" t="str">
        <f t="shared" si="416"/>
        <v>72.2956529813786</v>
      </c>
      <c r="AG509" t="str">
        <f t="shared" si="417"/>
        <v>1+1008.15432291128i</v>
      </c>
      <c r="AH509">
        <f t="shared" si="435"/>
        <v>1008.1548188669743</v>
      </c>
      <c r="AI509">
        <f t="shared" si="436"/>
        <v>1.5698044154879556</v>
      </c>
      <c r="AJ509" t="str">
        <f t="shared" si="418"/>
        <v>1+19.2029394840244i</v>
      </c>
      <c r="AK509">
        <f t="shared" si="437"/>
        <v>19.228959535739403</v>
      </c>
      <c r="AL509">
        <f t="shared" si="438"/>
        <v>1.5187679630604582</v>
      </c>
      <c r="AM509" t="str">
        <f t="shared" si="419"/>
        <v>1-2.47249550597924i</v>
      </c>
      <c r="AN509">
        <f t="shared" si="439"/>
        <v>2.6670646837089533</v>
      </c>
      <c r="AO509">
        <f t="shared" si="440"/>
        <v>-1.18645991973479</v>
      </c>
      <c r="AP509" s="41" t="str">
        <f t="shared" si="441"/>
        <v>1.20320236369061-3.47529223060518i</v>
      </c>
      <c r="AQ509">
        <f t="shared" si="442"/>
        <v>11.311485770435471</v>
      </c>
      <c r="AR509" s="43">
        <f t="shared" si="443"/>
        <v>-70.903319287649609</v>
      </c>
      <c r="AS509" t="str">
        <f t="shared" si="420"/>
        <v>-0.0000166666666666667</v>
      </c>
      <c r="AT509" t="str">
        <f t="shared" si="421"/>
        <v>0.0173643601717242i</v>
      </c>
      <c r="AU509">
        <f t="shared" si="444"/>
        <v>1.73643601717242E-2</v>
      </c>
      <c r="AV509">
        <f t="shared" si="445"/>
        <v>1.5707963267948966</v>
      </c>
      <c r="AW509" t="str">
        <f t="shared" si="422"/>
        <v>1+17.3493390989113i</v>
      </c>
      <c r="AX509">
        <f t="shared" si="446"/>
        <v>17.378134743666031</v>
      </c>
      <c r="AY509">
        <f t="shared" si="447"/>
        <v>1.5132209473949574</v>
      </c>
      <c r="AZ509" t="str">
        <f t="shared" si="423"/>
        <v>1+589.877529362985i</v>
      </c>
      <c r="BA509">
        <f t="shared" si="448"/>
        <v>589.87837699595252</v>
      </c>
      <c r="BB509">
        <f t="shared" si="449"/>
        <v>1.5691010612656187</v>
      </c>
      <c r="BC509" s="41" t="str">
        <f t="shared" si="450"/>
        <v>-0.0018196192352347+0.0325290115165492i</v>
      </c>
      <c r="BD509">
        <f t="shared" si="451"/>
        <v>-29.741014387842636</v>
      </c>
      <c r="BE509" s="43">
        <f t="shared" si="452"/>
        <v>93.201694683499326</v>
      </c>
      <c r="BF509" s="41" t="str">
        <f t="shared" si="453"/>
        <v>0.00206809446270372-0.0147530123419412i</v>
      </c>
      <c r="BG509" s="20">
        <f t="shared" si="454"/>
        <v>-36.537871416348651</v>
      </c>
      <c r="BH509" s="43">
        <f t="shared" si="455"/>
        <v>-82.020209385626274</v>
      </c>
      <c r="BI509" s="41" t="str">
        <f t="shared" si="460"/>
        <v>0.110858450827879+0.045462692136102i</v>
      </c>
      <c r="BJ509" s="20">
        <f t="shared" si="456"/>
        <v>-18.429528617407133</v>
      </c>
      <c r="BK509" s="43">
        <f t="shared" si="461"/>
        <v>22.298375395849668</v>
      </c>
      <c r="BL509">
        <f t="shared" si="457"/>
        <v>-36.537871416348651</v>
      </c>
      <c r="BM509" s="43">
        <f t="shared" si="458"/>
        <v>-82.020209385626274</v>
      </c>
    </row>
    <row r="510" spans="14:65" x14ac:dyDescent="0.25">
      <c r="N510" s="9">
        <v>92</v>
      </c>
      <c r="O510" s="34">
        <f t="shared" si="459"/>
        <v>831763.77110267128</v>
      </c>
      <c r="P510" s="33" t="str">
        <f t="shared" si="411"/>
        <v>19.6196196196196</v>
      </c>
      <c r="Q510" s="4" t="str">
        <f t="shared" si="412"/>
        <v>1+1265.02065652804i</v>
      </c>
      <c r="R510" s="4">
        <f t="shared" si="424"/>
        <v>1265.021051778441</v>
      </c>
      <c r="S510" s="4">
        <f t="shared" si="425"/>
        <v>1.5700058260338676</v>
      </c>
      <c r="T510" s="4" t="str">
        <f t="shared" si="413"/>
        <v>1+19.6502334051936i</v>
      </c>
      <c r="U510" s="4">
        <f t="shared" si="426"/>
        <v>19.675661942577342</v>
      </c>
      <c r="V510" s="4">
        <f t="shared" si="427"/>
        <v>1.519950209349727</v>
      </c>
      <c r="W510" t="str">
        <f t="shared" si="414"/>
        <v>1-11.43215041858i</v>
      </c>
      <c r="X510" s="4">
        <f t="shared" si="428"/>
        <v>11.475803378981309</v>
      </c>
      <c r="Y510" s="4">
        <f t="shared" si="429"/>
        <v>-1.4835457988392755</v>
      </c>
      <c r="Z510" t="str">
        <f t="shared" si="415"/>
        <v>0.308169029081063+7.65254150468215i</v>
      </c>
      <c r="AA510" s="4">
        <f t="shared" si="430"/>
        <v>7.658743998291607</v>
      </c>
      <c r="AB510" s="4">
        <f t="shared" si="431"/>
        <v>1.5305479195965916</v>
      </c>
      <c r="AC510" s="47" t="str">
        <f t="shared" si="432"/>
        <v>-0.455873230532726-0.0353750843735114i</v>
      </c>
      <c r="AD510" s="20">
        <f t="shared" si="433"/>
        <v>-6.7970454395619795</v>
      </c>
      <c r="AE510" s="43">
        <f t="shared" si="434"/>
        <v>-175.56282470019377</v>
      </c>
      <c r="AF510" t="str">
        <f t="shared" si="416"/>
        <v>72.2956529813786</v>
      </c>
      <c r="AG510" t="str">
        <f t="shared" si="417"/>
        <v>1+1031.63725377266i</v>
      </c>
      <c r="AH510">
        <f t="shared" si="435"/>
        <v>1031.6377384390296</v>
      </c>
      <c r="AI510">
        <f t="shared" si="436"/>
        <v>1.5698269941315588</v>
      </c>
      <c r="AJ510" t="str">
        <f t="shared" si="418"/>
        <v>1+19.6502334051936i</v>
      </c>
      <c r="AK510">
        <f t="shared" si="437"/>
        <v>19.675661942577342</v>
      </c>
      <c r="AL510">
        <f t="shared" si="438"/>
        <v>1.519950209349727</v>
      </c>
      <c r="AM510" t="str">
        <f t="shared" si="419"/>
        <v>1-2.53008732471421i</v>
      </c>
      <c r="AN510">
        <f t="shared" si="439"/>
        <v>2.7205407313031555</v>
      </c>
      <c r="AO510">
        <f t="shared" si="440"/>
        <v>-1.1943972887733278</v>
      </c>
      <c r="AP510" s="41" t="str">
        <f t="shared" si="441"/>
        <v>1.20319921555738-3.55299445418548i</v>
      </c>
      <c r="AQ510">
        <f t="shared" si="442"/>
        <v>11.483390970182814</v>
      </c>
      <c r="AR510" s="43">
        <f t="shared" si="443"/>
        <v>-71.291652972261161</v>
      </c>
      <c r="AS510" t="str">
        <f t="shared" si="420"/>
        <v>-0.0000166666666666667</v>
      </c>
      <c r="AT510" t="str">
        <f t="shared" si="421"/>
        <v>0.0177688280791644i</v>
      </c>
      <c r="AU510">
        <f t="shared" si="444"/>
        <v>1.7768828079164401E-2</v>
      </c>
      <c r="AV510">
        <f t="shared" si="445"/>
        <v>1.5707963267948966</v>
      </c>
      <c r="AW510" t="str">
        <f t="shared" si="422"/>
        <v>1+17.7534571206184i</v>
      </c>
      <c r="AX510">
        <f t="shared" si="446"/>
        <v>17.781598345864079</v>
      </c>
      <c r="AY510">
        <f t="shared" si="447"/>
        <v>1.5145287264746368</v>
      </c>
      <c r="AZ510" t="str">
        <f t="shared" si="423"/>
        <v>1+603.617542101026i</v>
      </c>
      <c r="BA510">
        <f t="shared" si="448"/>
        <v>603.61837043953835</v>
      </c>
      <c r="BB510">
        <f t="shared" si="449"/>
        <v>1.5691396501488537</v>
      </c>
      <c r="BC510" s="41" t="str">
        <f t="shared" si="450"/>
        <v>-0.00173798189288097+0.0317931592061487i</v>
      </c>
      <c r="BD510">
        <f t="shared" si="451"/>
        <v>-29.940367666274721</v>
      </c>
      <c r="BE510" s="43">
        <f t="shared" si="452"/>
        <v>93.128975441843707</v>
      </c>
      <c r="BF510" s="41" t="str">
        <f t="shared" si="453"/>
        <v>0.00191698510953302-0.014432168940048i</v>
      </c>
      <c r="BG510" s="20">
        <f t="shared" si="454"/>
        <v>-36.737413105836694</v>
      </c>
      <c r="BH510" s="43">
        <f t="shared" si="455"/>
        <v>-82.433849258350065</v>
      </c>
      <c r="BI510" s="41" t="str">
        <f t="shared" si="460"/>
        <v>0.110869779890315+0.0444285442438099i</v>
      </c>
      <c r="BJ510" s="20">
        <f t="shared" si="456"/>
        <v>-18.456976696091907</v>
      </c>
      <c r="BK510" s="43">
        <f t="shared" si="461"/>
        <v>21.837322469582556</v>
      </c>
      <c r="BL510">
        <f t="shared" si="457"/>
        <v>-36.737413105836694</v>
      </c>
      <c r="BM510" s="43">
        <f t="shared" si="458"/>
        <v>-82.433849258350065</v>
      </c>
    </row>
    <row r="511" spans="14:65" x14ac:dyDescent="0.25">
      <c r="N511" s="9">
        <v>93</v>
      </c>
      <c r="O511" s="34">
        <f t="shared" si="459"/>
        <v>851138.03820237669</v>
      </c>
      <c r="P511" s="33" t="str">
        <f t="shared" si="411"/>
        <v>19.6196196196196</v>
      </c>
      <c r="Q511" s="4" t="str">
        <f t="shared" si="412"/>
        <v>1+1294.48677291554i</v>
      </c>
      <c r="R511" s="4">
        <f t="shared" si="424"/>
        <v>1294.4871591689464</v>
      </c>
      <c r="S511" s="4">
        <f t="shared" si="425"/>
        <v>1.570023820020783</v>
      </c>
      <c r="T511" s="4" t="str">
        <f t="shared" si="413"/>
        <v>1+20.1079461402157i</v>
      </c>
      <c r="U511" s="4">
        <f t="shared" si="426"/>
        <v>20.132796576179263</v>
      </c>
      <c r="V511" s="4">
        <f t="shared" si="427"/>
        <v>1.5211056819065092</v>
      </c>
      <c r="W511" t="str">
        <f t="shared" si="414"/>
        <v>1-11.6984394100324i</v>
      </c>
      <c r="X511" s="4">
        <f t="shared" si="428"/>
        <v>11.741102360093757</v>
      </c>
      <c r="Y511" s="4">
        <f t="shared" si="429"/>
        <v>-1.4855221382112627</v>
      </c>
      <c r="Z511" t="str">
        <f t="shared" si="415"/>
        <v>0.27556403992501+7.83079209487885i</v>
      </c>
      <c r="AA511" s="4">
        <f t="shared" si="430"/>
        <v>7.8356391170929314</v>
      </c>
      <c r="AB511" s="4">
        <f t="shared" si="431"/>
        <v>1.5356210373317898</v>
      </c>
      <c r="AC511" s="47" t="str">
        <f t="shared" si="432"/>
        <v>-0.456057242736572-0.0326781397811906i</v>
      </c>
      <c r="AD511" s="20">
        <f t="shared" si="433"/>
        <v>-6.7973721916856782</v>
      </c>
      <c r="AE511" s="43">
        <f t="shared" si="434"/>
        <v>-175.90155611895403</v>
      </c>
      <c r="AF511" t="str">
        <f t="shared" si="416"/>
        <v>72.2956529813786</v>
      </c>
      <c r="AG511" t="str">
        <f t="shared" si="417"/>
        <v>1+1055.66717236133i</v>
      </c>
      <c r="AH511">
        <f t="shared" si="435"/>
        <v>1055.667645995351</v>
      </c>
      <c r="AI511">
        <f t="shared" si="436"/>
        <v>1.5698490588234415</v>
      </c>
      <c r="AJ511" t="str">
        <f t="shared" si="418"/>
        <v>1+20.1079461402157i</v>
      </c>
      <c r="AK511">
        <f t="shared" si="437"/>
        <v>20.132796576179263</v>
      </c>
      <c r="AL511">
        <f t="shared" si="438"/>
        <v>1.5211056819065092</v>
      </c>
      <c r="AM511" t="str">
        <f t="shared" si="419"/>
        <v>1-2.58902062923841i</v>
      </c>
      <c r="AN511">
        <f t="shared" si="439"/>
        <v>2.7754329065250438</v>
      </c>
      <c r="AO511">
        <f t="shared" si="440"/>
        <v>-1.2022024025385873</v>
      </c>
      <c r="AP511" s="41" t="str">
        <f t="shared" si="441"/>
        <v>1.20319620911321-3.63258052218003i</v>
      </c>
      <c r="AQ511">
        <f t="shared" si="442"/>
        <v>11.656396233262775</v>
      </c>
      <c r="AR511" s="43">
        <f t="shared" si="443"/>
        <v>-71.673913562504382</v>
      </c>
      <c r="AS511" t="str">
        <f t="shared" si="420"/>
        <v>-0.0000166666666666667</v>
      </c>
      <c r="AT511" t="str">
        <f t="shared" si="421"/>
        <v>0.0181827172544504i</v>
      </c>
      <c r="AU511">
        <f t="shared" si="444"/>
        <v>1.8182717254450399E-2</v>
      </c>
      <c r="AV511">
        <f t="shared" si="445"/>
        <v>1.5707963267948966</v>
      </c>
      <c r="AW511" t="str">
        <f t="shared" si="422"/>
        <v>1+18.1669882602857i</v>
      </c>
      <c r="AX511">
        <f t="shared" si="446"/>
        <v>18.194489892529511</v>
      </c>
      <c r="AY511">
        <f t="shared" si="447"/>
        <v>1.5158069230700042</v>
      </c>
      <c r="AZ511" t="str">
        <f t="shared" si="423"/>
        <v>1+617.677600849713i</v>
      </c>
      <c r="BA511">
        <f t="shared" si="448"/>
        <v>617.67841033296406</v>
      </c>
      <c r="BB511">
        <f t="shared" si="449"/>
        <v>1.5691773606466335</v>
      </c>
      <c r="BC511" s="41" t="str">
        <f t="shared" si="450"/>
        <v>-0.00165999611462441+0.0310737512671644i</v>
      </c>
      <c r="BD511">
        <f t="shared" si="451"/>
        <v>-30.139749961901714</v>
      </c>
      <c r="BE511" s="43">
        <f t="shared" si="452"/>
        <v>93.057900823907275</v>
      </c>
      <c r="BF511" s="41" t="str">
        <f t="shared" si="453"/>
        <v>0.00177248563842338-0.0141171637393151i</v>
      </c>
      <c r="BG511" s="20">
        <f t="shared" si="454"/>
        <v>-36.93712215358741</v>
      </c>
      <c r="BH511" s="43">
        <f t="shared" si="455"/>
        <v>-82.84365529504673</v>
      </c>
      <c r="BI511" s="41" t="str">
        <f t="shared" si="460"/>
        <v>0.11088060257191+0.0434178892804582i</v>
      </c>
      <c r="BJ511" s="20">
        <f t="shared" si="456"/>
        <v>-18.483353728638917</v>
      </c>
      <c r="BK511" s="43">
        <f t="shared" si="461"/>
        <v>21.383987261402847</v>
      </c>
      <c r="BL511">
        <f t="shared" si="457"/>
        <v>-36.93712215358741</v>
      </c>
      <c r="BM511" s="43">
        <f t="shared" si="458"/>
        <v>-82.84365529504673</v>
      </c>
    </row>
    <row r="512" spans="14:65" x14ac:dyDescent="0.25">
      <c r="N512" s="9">
        <v>94</v>
      </c>
      <c r="O512" s="34">
        <f t="shared" si="459"/>
        <v>870963.58995608077</v>
      </c>
      <c r="P512" s="33" t="str">
        <f t="shared" si="411"/>
        <v>19.6196196196196</v>
      </c>
      <c r="Q512" s="4" t="str">
        <f t="shared" si="412"/>
        <v>1+1324.6392433246i</v>
      </c>
      <c r="R512" s="4">
        <f t="shared" si="424"/>
        <v>1324.6396207858081</v>
      </c>
      <c r="S512" s="4">
        <f t="shared" si="425"/>
        <v>1.5700414044150335</v>
      </c>
      <c r="T512" s="4" t="str">
        <f t="shared" si="413"/>
        <v>1+20.5763203744416i</v>
      </c>
      <c r="U512" s="4">
        <f t="shared" si="426"/>
        <v>20.600605820015595</v>
      </c>
      <c r="V512" s="4">
        <f t="shared" si="427"/>
        <v>1.5222349810291145</v>
      </c>
      <c r="W512" t="str">
        <f t="shared" si="414"/>
        <v>1-11.9709310689072i</v>
      </c>
      <c r="X512" s="4">
        <f t="shared" si="428"/>
        <v>12.012626301376716</v>
      </c>
      <c r="Y512" s="4">
        <f t="shared" si="429"/>
        <v>-1.4874541360747129</v>
      </c>
      <c r="Z512" t="str">
        <f t="shared" si="415"/>
        <v>0.241422424970818+8.01319467469706i</v>
      </c>
      <c r="AA512" s="4">
        <f t="shared" si="430"/>
        <v>8.016830650691837</v>
      </c>
      <c r="AB512" s="4">
        <f t="shared" si="431"/>
        <v>1.5406773258350845</v>
      </c>
      <c r="AC512" s="47" t="str">
        <f t="shared" si="432"/>
        <v>-0.456216926952278-0.0299959286576038i</v>
      </c>
      <c r="AD512" s="20">
        <f t="shared" si="433"/>
        <v>-6.7978381644297787</v>
      </c>
      <c r="AE512" s="43">
        <f t="shared" si="434"/>
        <v>-176.23825887184006</v>
      </c>
      <c r="AF512" t="str">
        <f t="shared" si="416"/>
        <v>72.2956529813786</v>
      </c>
      <c r="AG512" t="str">
        <f t="shared" si="417"/>
        <v>1+1080.25681965818i</v>
      </c>
      <c r="AH512">
        <f t="shared" si="435"/>
        <v>1080.2572825109792</v>
      </c>
      <c r="AI512">
        <f t="shared" si="436"/>
        <v>1.5698706212625095</v>
      </c>
      <c r="AJ512" t="str">
        <f t="shared" si="418"/>
        <v>1+20.5763203744416i</v>
      </c>
      <c r="AK512">
        <f t="shared" si="437"/>
        <v>20.600605820015595</v>
      </c>
      <c r="AL512">
        <f t="shared" si="438"/>
        <v>1.5222349810291145</v>
      </c>
      <c r="AM512" t="str">
        <f t="shared" si="419"/>
        <v>1-2.64932666676997i</v>
      </c>
      <c r="AN512">
        <f t="shared" si="439"/>
        <v>2.8317718459046946</v>
      </c>
      <c r="AO512">
        <f t="shared" si="440"/>
        <v>-1.2098755944913906</v>
      </c>
      <c r="AP512" s="41" t="str">
        <f t="shared" si="441"/>
        <v>1.20319333798111-3.71409263219396i</v>
      </c>
      <c r="AQ512">
        <f t="shared" si="442"/>
        <v>11.830464674413321</v>
      </c>
      <c r="AR512" s="43">
        <f t="shared" si="443"/>
        <v>-72.05008644001515</v>
      </c>
      <c r="AS512" t="str">
        <f t="shared" si="420"/>
        <v>-0.0000166666666666667</v>
      </c>
      <c r="AT512" t="str">
        <f t="shared" si="421"/>
        <v>0.0186062471471015i</v>
      </c>
      <c r="AU512">
        <f t="shared" si="444"/>
        <v>1.86062471471015E-2</v>
      </c>
      <c r="AV512">
        <f t="shared" si="445"/>
        <v>1.5707963267948966</v>
      </c>
      <c r="AW512" t="str">
        <f t="shared" si="422"/>
        <v>1+18.5901517775971i</v>
      </c>
      <c r="AX512">
        <f t="shared" si="446"/>
        <v>18.617028310503709</v>
      </c>
      <c r="AY512">
        <f t="shared" si="447"/>
        <v>1.5170561981819488</v>
      </c>
      <c r="AZ512" t="str">
        <f t="shared" si="423"/>
        <v>1+632.065160438299i</v>
      </c>
      <c r="BA512">
        <f t="shared" si="448"/>
        <v>632.0659514954848</v>
      </c>
      <c r="BB512">
        <f t="shared" si="449"/>
        <v>1.5692142127531341</v>
      </c>
      <c r="BC512" s="41" t="str">
        <f t="shared" si="450"/>
        <v>-0.0015854995434017+0.0303704336467666i</v>
      </c>
      <c r="BD512">
        <f t="shared" si="451"/>
        <v>-30.339159976636623</v>
      </c>
      <c r="BE512" s="43">
        <f t="shared" si="452"/>
        <v>92.988434102710769</v>
      </c>
      <c r="BF512" s="41" t="str">
        <f t="shared" si="453"/>
        <v>0.00163432109034386-0.0138079473773454i</v>
      </c>
      <c r="BG512" s="20">
        <f t="shared" si="454"/>
        <v>-37.136998141066393</v>
      </c>
      <c r="BH512" s="43">
        <f t="shared" si="455"/>
        <v>-83.249824769129333</v>
      </c>
      <c r="BI512" s="41" t="str">
        <f t="shared" si="460"/>
        <v>0.110890941355998+0.0424301956078821i</v>
      </c>
      <c r="BJ512" s="20">
        <f t="shared" si="456"/>
        <v>-18.508695302223323</v>
      </c>
      <c r="BK512" s="43">
        <f t="shared" si="461"/>
        <v>20.938347662695701</v>
      </c>
      <c r="BL512">
        <f t="shared" si="457"/>
        <v>-37.136998141066393</v>
      </c>
      <c r="BM512" s="43">
        <f t="shared" si="458"/>
        <v>-83.249824769129333</v>
      </c>
    </row>
    <row r="513" spans="14:65" x14ac:dyDescent="0.25">
      <c r="N513" s="9">
        <v>95</v>
      </c>
      <c r="O513" s="34">
        <f t="shared" si="459"/>
        <v>891250.93813374708</v>
      </c>
      <c r="P513" s="33" t="str">
        <f t="shared" si="411"/>
        <v>19.6196196196196</v>
      </c>
      <c r="Q513" s="4" t="str">
        <f t="shared" si="412"/>
        <v>1+1355.49405499415i</v>
      </c>
      <c r="R513" s="4">
        <f t="shared" si="424"/>
        <v>1355.4944238632943</v>
      </c>
      <c r="S513" s="4">
        <f t="shared" si="425"/>
        <v>1.5700585885400542</v>
      </c>
      <c r="T513" s="4" t="str">
        <f t="shared" si="413"/>
        <v>1+21.0556044460898i</v>
      </c>
      <c r="U513" s="4">
        <f t="shared" si="426"/>
        <v>21.079337717067787</v>
      </c>
      <c r="V513" s="4">
        <f t="shared" si="427"/>
        <v>1.5233386939586293</v>
      </c>
      <c r="W513" t="str">
        <f t="shared" si="414"/>
        <v>1-12.2497698738887i</v>
      </c>
      <c r="X513" s="4">
        <f t="shared" si="428"/>
        <v>12.290519190141286</v>
      </c>
      <c r="Y513" s="4">
        <f t="shared" si="429"/>
        <v>-1.489342759077154</v>
      </c>
      <c r="Z513" t="str">
        <f t="shared" si="415"/>
        <v>0.205671765275718+8.19984595639897i</v>
      </c>
      <c r="AA513" s="4">
        <f t="shared" si="430"/>
        <v>8.2024249209428426</v>
      </c>
      <c r="AB513" s="4">
        <f t="shared" si="431"/>
        <v>1.5457191910220625</v>
      </c>
      <c r="AC513" s="47" t="str">
        <f t="shared" si="432"/>
        <v>-0.456352572933481-0.0273274107238785i</v>
      </c>
      <c r="AD513" s="20">
        <f t="shared" si="433"/>
        <v>-6.7984445000876939</v>
      </c>
      <c r="AE513" s="43">
        <f t="shared" si="434"/>
        <v>-176.5730930802421</v>
      </c>
      <c r="AF513" t="str">
        <f t="shared" si="416"/>
        <v>72.2956529813786</v>
      </c>
      <c r="AG513" t="str">
        <f t="shared" si="417"/>
        <v>1+1105.41923341972i</v>
      </c>
      <c r="AH513">
        <f t="shared" si="435"/>
        <v>1105.4196857367076</v>
      </c>
      <c r="AI513">
        <f t="shared" si="436"/>
        <v>1.5698916928813733</v>
      </c>
      <c r="AJ513" t="str">
        <f t="shared" si="418"/>
        <v>1+21.0556044460898i</v>
      </c>
      <c r="AK513">
        <f t="shared" si="437"/>
        <v>21.079337717067787</v>
      </c>
      <c r="AL513">
        <f t="shared" si="438"/>
        <v>1.5233386939586293</v>
      </c>
      <c r="AM513" t="str">
        <f t="shared" si="419"/>
        <v>1-2.71103741236824i</v>
      </c>
      <c r="AN513">
        <f t="shared" si="439"/>
        <v>2.8895888723588836</v>
      </c>
      <c r="AO513">
        <f t="shared" si="440"/>
        <v>-1.2174173177980447</v>
      </c>
      <c r="AP513" s="41" t="str">
        <f t="shared" si="441"/>
        <v>1.20319059607099-3.79757400304396i</v>
      </c>
      <c r="AQ513">
        <f t="shared" si="442"/>
        <v>12.005560166023182</v>
      </c>
      <c r="AR513" s="43">
        <f t="shared" si="443"/>
        <v>-72.42016457791523</v>
      </c>
      <c r="AS513" t="str">
        <f t="shared" si="420"/>
        <v>-0.0000166666666666667</v>
      </c>
      <c r="AT513" t="str">
        <f t="shared" si="421"/>
        <v>0.0190396423182727i</v>
      </c>
      <c r="AU513">
        <f t="shared" si="444"/>
        <v>1.9039642318272699E-2</v>
      </c>
      <c r="AV513">
        <f t="shared" si="445"/>
        <v>1.5707963267948966</v>
      </c>
      <c r="AW513" t="str">
        <f t="shared" si="422"/>
        <v>1+19.0231720394507i</v>
      </c>
      <c r="AX513">
        <f t="shared" si="446"/>
        <v>19.049437641110011</v>
      </c>
      <c r="AY513">
        <f t="shared" si="447"/>
        <v>1.5182771985859995</v>
      </c>
      <c r="AZ513" t="str">
        <f t="shared" si="423"/>
        <v>1+646.787849341324i</v>
      </c>
      <c r="BA513">
        <f t="shared" si="448"/>
        <v>646.78862239187174</v>
      </c>
      <c r="BB513">
        <f t="shared" si="449"/>
        <v>1.5692502260074297</v>
      </c>
      <c r="BC513" s="41" t="str">
        <f t="shared" si="450"/>
        <v>-0.00151433695542671+0.0296828590133024i</v>
      </c>
      <c r="BD513">
        <f t="shared" si="451"/>
        <v>-30.538596470123437</v>
      </c>
      <c r="BE513" s="43">
        <f t="shared" si="452"/>
        <v>92.920539340252546</v>
      </c>
      <c r="BF513" s="41" t="str">
        <f t="shared" si="453"/>
        <v>0.00150222724561273-0.013504466174787i</v>
      </c>
      <c r="BG513" s="20">
        <f t="shared" si="454"/>
        <v>-37.337040970211149</v>
      </c>
      <c r="BH513" s="43">
        <f t="shared" si="455"/>
        <v>-83.652553739989557</v>
      </c>
      <c r="BI513" s="41" t="str">
        <f t="shared" si="460"/>
        <v>0.110900817740884+0.0414649434830837i</v>
      </c>
      <c r="BJ513" s="20">
        <f t="shared" si="456"/>
        <v>-18.533036304100264</v>
      </c>
      <c r="BK513" s="43">
        <f t="shared" si="461"/>
        <v>20.500374762337341</v>
      </c>
      <c r="BL513">
        <f t="shared" si="457"/>
        <v>-37.337040970211149</v>
      </c>
      <c r="BM513" s="43">
        <f t="shared" si="458"/>
        <v>-83.652553739989557</v>
      </c>
    </row>
    <row r="514" spans="14:65" x14ac:dyDescent="0.25">
      <c r="N514" s="9">
        <v>96</v>
      </c>
      <c r="O514" s="34">
        <f t="shared" si="459"/>
        <v>912010.83935591124</v>
      </c>
      <c r="P514" s="33" t="str">
        <f t="shared" si="411"/>
        <v>19.6196196196196</v>
      </c>
      <c r="Q514" s="4" t="str">
        <f t="shared" si="412"/>
        <v>1+1387.06756755373i</v>
      </c>
      <c r="R514" s="4">
        <f t="shared" si="424"/>
        <v>1387.0679280263894</v>
      </c>
      <c r="S514" s="4">
        <f t="shared" si="425"/>
        <v>1.5700753815070549</v>
      </c>
      <c r="T514" s="4" t="str">
        <f t="shared" si="413"/>
        <v>1+21.5460524779192i</v>
      </c>
      <c r="U514" s="4">
        <f t="shared" si="426"/>
        <v>21.569246101364975</v>
      </c>
      <c r="V514" s="4">
        <f t="shared" si="427"/>
        <v>1.5244173951359565</v>
      </c>
      <c r="W514" t="str">
        <f t="shared" si="414"/>
        <v>1-12.5351036690022i</v>
      </c>
      <c r="X514" s="4">
        <f t="shared" si="428"/>
        <v>12.574928389165182</v>
      </c>
      <c r="Y514" s="4">
        <f t="shared" si="429"/>
        <v>-1.4911889546693147</v>
      </c>
      <c r="Z514" t="str">
        <f t="shared" si="415"/>
        <v>0.168236228897328+8.39084490496474i</v>
      </c>
      <c r="AA514" s="4">
        <f t="shared" si="430"/>
        <v>8.3925313015732215</v>
      </c>
      <c r="AB514" s="4">
        <f t="shared" si="431"/>
        <v>1.550749038053377</v>
      </c>
      <c r="AC514" s="47" t="str">
        <f t="shared" si="432"/>
        <v>-0.456464427461346-0.0246715435574343i</v>
      </c>
      <c r="AD514" s="20">
        <f t="shared" si="433"/>
        <v>-6.7991926073152484</v>
      </c>
      <c r="AE514" s="43">
        <f t="shared" si="434"/>
        <v>-176.90621844363733</v>
      </c>
      <c r="AF514" t="str">
        <f t="shared" si="416"/>
        <v>72.2956529813786</v>
      </c>
      <c r="AG514" t="str">
        <f t="shared" si="417"/>
        <v>1+1131.16775509076i</v>
      </c>
      <c r="AH514">
        <f t="shared" si="435"/>
        <v>1131.16819711176</v>
      </c>
      <c r="AI514">
        <f t="shared" si="436"/>
        <v>1.569912284852409</v>
      </c>
      <c r="AJ514" t="str">
        <f t="shared" si="418"/>
        <v>1+21.5460524779192i</v>
      </c>
      <c r="AK514">
        <f t="shared" si="437"/>
        <v>21.569246101364975</v>
      </c>
      <c r="AL514">
        <f t="shared" si="438"/>
        <v>1.5244173951359565</v>
      </c>
      <c r="AM514" t="str">
        <f t="shared" si="419"/>
        <v>1-2.77418558588737i</v>
      </c>
      <c r="AN514">
        <f t="shared" si="439"/>
        <v>2.9489160152410667</v>
      </c>
      <c r="AO514">
        <f t="shared" si="440"/>
        <v>-1.2248281385447097</v>
      </c>
      <c r="AP514" s="41" t="str">
        <f t="shared" si="441"/>
        <v>1.20318797756698-3.8830688976739i</v>
      </c>
      <c r="AQ514">
        <f t="shared" si="442"/>
        <v>12.181647360851144</v>
      </c>
      <c r="AR514" s="43">
        <f t="shared" si="443"/>
        <v>-72.784148137642632</v>
      </c>
      <c r="AS514" t="str">
        <f t="shared" si="420"/>
        <v>-0.0000166666666666667</v>
      </c>
      <c r="AT514" t="str">
        <f t="shared" si="421"/>
        <v>0.0194831325598206i</v>
      </c>
      <c r="AU514">
        <f t="shared" si="444"/>
        <v>1.94831325598206E-2</v>
      </c>
      <c r="AV514">
        <f t="shared" si="445"/>
        <v>1.5707963267948966</v>
      </c>
      <c r="AW514" t="str">
        <f t="shared" si="422"/>
        <v>1+19.4662786389211i</v>
      </c>
      <c r="AX514">
        <f t="shared" si="446"/>
        <v>19.491947158970955</v>
      </c>
      <c r="AY514">
        <f t="shared" si="447"/>
        <v>1.5194705571019258</v>
      </c>
      <c r="AZ514" t="str">
        <f t="shared" si="423"/>
        <v>1+661.853473723316i</v>
      </c>
      <c r="BA514">
        <f t="shared" si="448"/>
        <v>661.85422917710537</v>
      </c>
      <c r="BB514">
        <f t="shared" si="449"/>
        <v>1.5692854195038501</v>
      </c>
      <c r="BC514" s="41" t="str">
        <f t="shared" si="450"/>
        <v>-0.0014463599543035+0.0290106866910249i</v>
      </c>
      <c r="BD514">
        <f t="shared" si="451"/>
        <v>-30.738058257200073</v>
      </c>
      <c r="BE514" s="43">
        <f t="shared" si="452"/>
        <v>92.854181372655205</v>
      </c>
      <c r="BF514" s="41" t="str">
        <f t="shared" si="453"/>
        <v>0.00137595028877287-0.0132066625580668i</v>
      </c>
      <c r="BG514" s="20">
        <f t="shared" si="454"/>
        <v>-37.53725086451535</v>
      </c>
      <c r="BH514" s="43">
        <f t="shared" si="455"/>
        <v>-84.052037070982095</v>
      </c>
      <c r="BI514" s="41" t="str">
        <f t="shared" si="460"/>
        <v>0.110910252281829+0.0405216248010005i</v>
      </c>
      <c r="BJ514" s="20">
        <f t="shared" si="456"/>
        <v>-18.556410896348904</v>
      </c>
      <c r="BK514" s="43">
        <f t="shared" si="461"/>
        <v>20.070033235012509</v>
      </c>
      <c r="BL514">
        <f t="shared" si="457"/>
        <v>-37.53725086451535</v>
      </c>
      <c r="BM514" s="43">
        <f t="shared" si="458"/>
        <v>-84.052037070982095</v>
      </c>
    </row>
    <row r="515" spans="14:65" x14ac:dyDescent="0.25">
      <c r="N515" s="9">
        <v>97</v>
      </c>
      <c r="O515" s="34">
        <f t="shared" si="459"/>
        <v>933254.30079699249</v>
      </c>
      <c r="P515" s="33" t="str">
        <f t="shared" si="411"/>
        <v>19.6196196196196</v>
      </c>
      <c r="Q515" s="4" t="str">
        <f t="shared" si="412"/>
        <v>1+1419.37652169765i</v>
      </c>
      <c r="R515" s="4">
        <f t="shared" si="424"/>
        <v>1419.3768739649524</v>
      </c>
      <c r="S515" s="4">
        <f t="shared" si="425"/>
        <v>1.5700917922198512</v>
      </c>
      <c r="T515" s="4" t="str">
        <f t="shared" si="413"/>
        <v>1+22.0479245119681i</v>
      </c>
      <c r="U515" s="4">
        <f t="shared" si="426"/>
        <v>22.070590732589007</v>
      </c>
      <c r="V515" s="4">
        <f t="shared" si="427"/>
        <v>1.5254716464556475</v>
      </c>
      <c r="W515" t="str">
        <f t="shared" si="414"/>
        <v>1-12.8270837420027i</v>
      </c>
      <c r="X515" s="4">
        <f t="shared" si="428"/>
        <v>12.866004714920246</v>
      </c>
      <c r="Y515" s="4">
        <f t="shared" si="429"/>
        <v>-1.4929936513593247</v>
      </c>
      <c r="Z515" t="str">
        <f t="shared" si="415"/>
        <v>0.129036410043918+8.58629279056509i</v>
      </c>
      <c r="AA515" s="4">
        <f t="shared" si="430"/>
        <v>8.58726232744913</v>
      </c>
      <c r="AB515" s="4">
        <f t="shared" si="431"/>
        <v>1.5557692714205498</v>
      </c>
      <c r="AC515" s="47" t="str">
        <f t="shared" si="432"/>
        <v>-0.456552694552667-0.0220272836077869i</v>
      </c>
      <c r="AD515" s="20">
        <f t="shared" si="433"/>
        <v>-6.8000841650711541</v>
      </c>
      <c r="AE515" s="43">
        <f t="shared" si="434"/>
        <v>-177.23779424480352</v>
      </c>
      <c r="AF515" t="str">
        <f t="shared" si="416"/>
        <v>72.2956529813786</v>
      </c>
      <c r="AG515" t="str">
        <f t="shared" si="417"/>
        <v>1+1157.51603687833i</v>
      </c>
      <c r="AH515">
        <f t="shared" si="435"/>
        <v>1157.5164688377074</v>
      </c>
      <c r="AI515">
        <f t="shared" si="436"/>
        <v>1.5699324080936823</v>
      </c>
      <c r="AJ515" t="str">
        <f t="shared" si="418"/>
        <v>1+22.0479245119681i</v>
      </c>
      <c r="AK515">
        <f t="shared" si="437"/>
        <v>22.070590732589007</v>
      </c>
      <c r="AL515">
        <f t="shared" si="438"/>
        <v>1.5254716464556475</v>
      </c>
      <c r="AM515" t="str">
        <f t="shared" si="419"/>
        <v>1-2.83880466932483i</v>
      </c>
      <c r="AN515">
        <f t="shared" si="439"/>
        <v>3.009786030697275</v>
      </c>
      <c r="AO515">
        <f t="shared" si="440"/>
        <v>-1.2321087290368493</v>
      </c>
      <c r="AP515" s="41" t="str">
        <f t="shared" si="441"/>
        <v>1.20318547691488-3.97062264662344i</v>
      </c>
      <c r="AQ515">
        <f t="shared" si="442"/>
        <v>12.358691711015883</v>
      </c>
      <c r="AR515" s="43">
        <f t="shared" si="443"/>
        <v>-73.142044070835937</v>
      </c>
      <c r="AS515" t="str">
        <f t="shared" si="420"/>
        <v>-0.0000166666666666667</v>
      </c>
      <c r="AT515" t="str">
        <f t="shared" si="421"/>
        <v>0.0199369530161414i</v>
      </c>
      <c r="AU515">
        <f t="shared" si="444"/>
        <v>1.9936953016141401E-2</v>
      </c>
      <c r="AV515">
        <f t="shared" si="445"/>
        <v>1.5707963267948966</v>
      </c>
      <c r="AW515" t="str">
        <f t="shared" si="422"/>
        <v>1+19.9197065169925i</v>
      </c>
      <c r="AX515">
        <f t="shared" si="446"/>
        <v>19.944791493598355</v>
      </c>
      <c r="AY515">
        <f t="shared" si="447"/>
        <v>1.5206368928607561</v>
      </c>
      <c r="AZ515" t="str">
        <f t="shared" si="423"/>
        <v>1+677.270021577744i</v>
      </c>
      <c r="BA515">
        <f t="shared" si="448"/>
        <v>677.27075983532461</v>
      </c>
      <c r="BB515">
        <f t="shared" si="449"/>
        <v>1.5693198119021046</v>
      </c>
      <c r="BC515" s="41" t="str">
        <f t="shared" si="450"/>
        <v>-0.00138142667759116+0.0283535825906294i</v>
      </c>
      <c r="BD515">
        <f t="shared" si="451"/>
        <v>-30.937544205468548</v>
      </c>
      <c r="BE515" s="43">
        <f t="shared" si="452"/>
        <v>92.789325795446331</v>
      </c>
      <c r="BF515" s="41" t="str">
        <f t="shared" si="453"/>
        <v>0.00125524647700179-0.0129144754547628i</v>
      </c>
      <c r="BG515" s="20">
        <f t="shared" si="454"/>
        <v>-37.737628370539689</v>
      </c>
      <c r="BH515" s="43">
        <f t="shared" si="455"/>
        <v>-84.448468449357193</v>
      </c>
      <c r="BI515" s="41" t="str">
        <f t="shared" si="460"/>
        <v>0.110919264631361+0.0395997428422451i</v>
      </c>
      <c r="BJ515" s="20">
        <f t="shared" si="456"/>
        <v>-18.578852494452647</v>
      </c>
      <c r="BK515" s="43">
        <f t="shared" si="461"/>
        <v>19.647281724610348</v>
      </c>
      <c r="BL515">
        <f t="shared" si="457"/>
        <v>-37.737628370539689</v>
      </c>
      <c r="BM515" s="43">
        <f t="shared" si="458"/>
        <v>-84.448468449357193</v>
      </c>
    </row>
    <row r="516" spans="14:65" x14ac:dyDescent="0.25">
      <c r="N516" s="9">
        <v>98</v>
      </c>
      <c r="O516" s="34">
        <f t="shared" si="459"/>
        <v>954992.58602143743</v>
      </c>
      <c r="P516" s="33" t="str">
        <f t="shared" si="411"/>
        <v>19.6196196196196</v>
      </c>
      <c r="Q516" s="4" t="str">
        <f t="shared" si="412"/>
        <v>1+1452.43804806103i</v>
      </c>
      <c r="R516" s="4">
        <f t="shared" si="424"/>
        <v>1452.4383923097514</v>
      </c>
      <c r="S516" s="4">
        <f t="shared" si="425"/>
        <v>1.5701078293795849</v>
      </c>
      <c r="T516" s="4" t="str">
        <f t="shared" si="413"/>
        <v>1+22.561486647432i</v>
      </c>
      <c r="U516" s="4">
        <f t="shared" si="426"/>
        <v>22.58363743382036</v>
      </c>
      <c r="V516" s="4">
        <f t="shared" si="427"/>
        <v>1.5265019975164269</v>
      </c>
      <c r="W516" t="str">
        <f t="shared" si="414"/>
        <v>1-13.1258649045898i</v>
      </c>
      <c r="X516" s="4">
        <f t="shared" si="428"/>
        <v>13.163902517625321</v>
      </c>
      <c r="Y516" s="4">
        <f t="shared" si="429"/>
        <v>-1.4947577589728409</v>
      </c>
      <c r="Z516" t="str">
        <f t="shared" si="415"/>
        <v>0.08798916064409+8.78629324225601i</v>
      </c>
      <c r="AA516" s="4">
        <f t="shared" si="430"/>
        <v>8.7867338090615039</v>
      </c>
      <c r="AB516" s="4">
        <f t="shared" si="431"/>
        <v>1.5607822950536685</v>
      </c>
      <c r="AC516" s="47" t="str">
        <f t="shared" si="432"/>
        <v>-0.456617535636091-0.0193935871857976i</v>
      </c>
      <c r="AD516" s="20">
        <f t="shared" si="433"/>
        <v>-6.8011211268919469</v>
      </c>
      <c r="AE516" s="43">
        <f t="shared" si="434"/>
        <v>-177.56797935681058</v>
      </c>
      <c r="AF516" t="str">
        <f t="shared" si="416"/>
        <v>72.2956529813786</v>
      </c>
      <c r="AG516" t="str">
        <f t="shared" si="417"/>
        <v>1+1184.47804899018i</v>
      </c>
      <c r="AH516">
        <f t="shared" si="435"/>
        <v>1184.4784711169655</v>
      </c>
      <c r="AI516">
        <f t="shared" si="436"/>
        <v>1.5699520732747367</v>
      </c>
      <c r="AJ516" t="str">
        <f t="shared" si="418"/>
        <v>1+22.561486647432i</v>
      </c>
      <c r="AK516">
        <f t="shared" si="437"/>
        <v>22.58363743382036</v>
      </c>
      <c r="AL516">
        <f t="shared" si="438"/>
        <v>1.5265019975164269</v>
      </c>
      <c r="AM516" t="str">
        <f t="shared" si="419"/>
        <v>1-2.90492892457398i</v>
      </c>
      <c r="AN516">
        <f t="shared" si="439"/>
        <v>3.0722324223317705</v>
      </c>
      <c r="AO516">
        <f t="shared" si="440"/>
        <v>-1.2392598612070302</v>
      </c>
      <c r="AP516" s="41" t="str">
        <f t="shared" si="441"/>
        <v>1.2031830888105-4.06028167206314i</v>
      </c>
      <c r="AQ516">
        <f t="shared" si="442"/>
        <v>12.53665948345456</v>
      </c>
      <c r="AR516" s="43">
        <f t="shared" si="443"/>
        <v>-73.493865727605922</v>
      </c>
      <c r="AS516" t="str">
        <f t="shared" si="420"/>
        <v>-0.0000166666666666667</v>
      </c>
      <c r="AT516" t="str">
        <f t="shared" si="421"/>
        <v>0.0204013443088481i</v>
      </c>
      <c r="AU516">
        <f t="shared" si="444"/>
        <v>2.0401344308848102E-2</v>
      </c>
      <c r="AV516">
        <f t="shared" si="445"/>
        <v>1.5707963267948966</v>
      </c>
      <c r="AW516" t="str">
        <f t="shared" si="422"/>
        <v>1+20.3836960871277i</v>
      </c>
      <c r="AX516">
        <f t="shared" si="446"/>
        <v>20.408210753821244</v>
      </c>
      <c r="AY516">
        <f t="shared" si="447"/>
        <v>1.5217768115690458</v>
      </c>
      <c r="AZ516" t="str">
        <f t="shared" si="423"/>
        <v>1+693.04566696234i</v>
      </c>
      <c r="BA516">
        <f t="shared" si="448"/>
        <v>693.04638841514395</v>
      </c>
      <c r="BB516">
        <f t="shared" si="449"/>
        <v>1.5693534214371718</v>
      </c>
      <c r="BC516" s="41" t="str">
        <f t="shared" si="450"/>
        <v>-0.00131940151537316+0.0277112191360412i</v>
      </c>
      <c r="BD516">
        <f t="shared" si="451"/>
        <v>-31.137053232971546</v>
      </c>
      <c r="BE516" s="43">
        <f t="shared" si="452"/>
        <v>92.725938948984094</v>
      </c>
      <c r="BF516" s="41" t="str">
        <f t="shared" si="453"/>
        <v>0.00113988181280377-0.0126278406630494i</v>
      </c>
      <c r="BG516" s="20">
        <f t="shared" si="454"/>
        <v>-37.938174359863467</v>
      </c>
      <c r="BH516" s="43">
        <f t="shared" si="455"/>
        <v>-84.842040407826502</v>
      </c>
      <c r="BI516" s="41" t="str">
        <f t="shared" si="460"/>
        <v>0.110927873577946+0.0386988120257687i</v>
      </c>
      <c r="BJ516" s="20">
        <f t="shared" si="456"/>
        <v>-18.600393749516954</v>
      </c>
      <c r="BK516" s="43">
        <f t="shared" si="461"/>
        <v>19.232073221378119</v>
      </c>
      <c r="BL516">
        <f t="shared" si="457"/>
        <v>-37.938174359863467</v>
      </c>
      <c r="BM516" s="43">
        <f t="shared" si="458"/>
        <v>-84.842040407826502</v>
      </c>
    </row>
    <row r="517" spans="14:65" x14ac:dyDescent="0.25">
      <c r="N517" s="9">
        <v>99</v>
      </c>
      <c r="O517" s="34">
        <f t="shared" si="459"/>
        <v>977237.22095581202</v>
      </c>
      <c r="P517" s="33" t="str">
        <f t="shared" si="411"/>
        <v>19.6196196196196</v>
      </c>
      <c r="Q517" s="4" t="str">
        <f t="shared" si="412"/>
        <v>1+1486.26967630279i</v>
      </c>
      <c r="R517" s="4">
        <f t="shared" si="424"/>
        <v>1486.2700127154556</v>
      </c>
      <c r="S517" s="4">
        <f t="shared" si="425"/>
        <v>1.5701235014893373</v>
      </c>
      <c r="T517" s="4" t="str">
        <f t="shared" si="413"/>
        <v>1+23.087011181753i</v>
      </c>
      <c r="U517" s="4">
        <f t="shared" si="426"/>
        <v>23.108658232497795</v>
      </c>
      <c r="V517" s="4">
        <f t="shared" si="427"/>
        <v>1.5275089858683275</v>
      </c>
      <c r="W517" t="str">
        <f t="shared" si="414"/>
        <v>1-13.4316055744906i</v>
      </c>
      <c r="X517" s="4">
        <f t="shared" si="428"/>
        <v>13.46877976316663</v>
      </c>
      <c r="Y517" s="4">
        <f t="shared" si="429"/>
        <v>-1.4964821689182308</v>
      </c>
      <c r="Z517" t="str">
        <f t="shared" si="415"/>
        <v>0.045007413978563+8.99095230292433i</v>
      </c>
      <c r="AA517" s="4">
        <f t="shared" si="430"/>
        <v>8.9910649525389008</v>
      </c>
      <c r="AB517" s="4">
        <f t="shared" si="431"/>
        <v>1.5657905124465421</v>
      </c>
      <c r="AC517" s="47" t="str">
        <f t="shared" si="432"/>
        <v>-0.456659069695149-0.0167694114318673i</v>
      </c>
      <c r="AD517" s="20">
        <f t="shared" si="433"/>
        <v>-6.8023057255145876</v>
      </c>
      <c r="AE517" s="43">
        <f t="shared" si="434"/>
        <v>-177.8969322514896</v>
      </c>
      <c r="AF517" t="str">
        <f t="shared" si="416"/>
        <v>72.2956529813786</v>
      </c>
      <c r="AG517" t="str">
        <f t="shared" si="417"/>
        <v>1+1212.06808704203i</v>
      </c>
      <c r="AH517">
        <f t="shared" si="435"/>
        <v>1212.0684995600395</v>
      </c>
      <c r="AI517">
        <f t="shared" si="436"/>
        <v>1.5699712908222512</v>
      </c>
      <c r="AJ517" t="str">
        <f t="shared" si="418"/>
        <v>1+23.087011181753i</v>
      </c>
      <c r="AK517">
        <f t="shared" si="437"/>
        <v>23.108658232497795</v>
      </c>
      <c r="AL517">
        <f t="shared" si="438"/>
        <v>1.5275089858683275</v>
      </c>
      <c r="AM517" t="str">
        <f t="shared" si="419"/>
        <v>1-2.97259341159022i</v>
      </c>
      <c r="AN517">
        <f t="shared" si="439"/>
        <v>3.1362894621876953</v>
      </c>
      <c r="AO517">
        <f t="shared" si="440"/>
        <v>-1.246282400151641</v>
      </c>
      <c r="AP517" s="41" t="str">
        <f t="shared" si="441"/>
        <v>1.20318080818838-4.15209351240799i</v>
      </c>
      <c r="AQ517">
        <f t="shared" si="442"/>
        <v>12.715517772048576</v>
      </c>
      <c r="AR517" s="43">
        <f t="shared" si="443"/>
        <v>-73.839632472380714</v>
      </c>
      <c r="AS517" t="str">
        <f t="shared" si="420"/>
        <v>-0.0000166666666666667</v>
      </c>
      <c r="AT517" t="str">
        <f t="shared" si="421"/>
        <v>0.0208765526643511i</v>
      </c>
      <c r="AU517">
        <f t="shared" si="444"/>
        <v>2.0876552664351102E-2</v>
      </c>
      <c r="AV517">
        <f t="shared" si="445"/>
        <v>1.5707963267948966</v>
      </c>
      <c r="AW517" t="str">
        <f t="shared" si="422"/>
        <v>1+20.8584933627384i</v>
      </c>
      <c r="AX517">
        <f t="shared" si="446"/>
        <v>20.882450655117129</v>
      </c>
      <c r="AY517">
        <f t="shared" si="447"/>
        <v>1.5228909057702347</v>
      </c>
      <c r="AZ517" t="str">
        <f t="shared" si="423"/>
        <v>1+709.188774333105i</v>
      </c>
      <c r="BA517">
        <f t="shared" si="448"/>
        <v>709.18947936365487</v>
      </c>
      <c r="BB517">
        <f t="shared" si="449"/>
        <v>1.5693862659289683</v>
      </c>
      <c r="BC517" s="41" t="str">
        <f t="shared" si="450"/>
        <v>-0.00126015484039477+0.0270832751878911i</v>
      </c>
      <c r="BD517">
        <f t="shared" si="451"/>
        <v>-31.33658430596746</v>
      </c>
      <c r="BE517" s="43">
        <f t="shared" si="452"/>
        <v>92.663987904036162</v>
      </c>
      <c r="BF517" s="41" t="str">
        <f t="shared" si="453"/>
        <v>0.00102963172163474-0.0123466911966136i</v>
      </c>
      <c r="BG517" s="20">
        <f t="shared" si="454"/>
        <v>-38.138890031482063</v>
      </c>
      <c r="BH517" s="43">
        <f t="shared" si="455"/>
        <v>-85.232944347453468</v>
      </c>
      <c r="BI517" s="41" t="str">
        <f t="shared" si="460"/>
        <v>0.110936097083094+0.0378183576663878i</v>
      </c>
      <c r="BJ517" s="20">
        <f t="shared" si="456"/>
        <v>-18.621066533918899</v>
      </c>
      <c r="BK517" s="43">
        <f t="shared" si="461"/>
        <v>18.824355431655501</v>
      </c>
      <c r="BL517">
        <f t="shared" si="457"/>
        <v>-38.138890031482063</v>
      </c>
      <c r="BM517" s="43">
        <f t="shared" si="458"/>
        <v>-85.232944347453468</v>
      </c>
    </row>
    <row r="518" spans="14:65" x14ac:dyDescent="0.25">
      <c r="N518" s="9">
        <v>100</v>
      </c>
      <c r="O518" s="34">
        <f t="shared" si="459"/>
        <v>1000000</v>
      </c>
      <c r="P518" s="33" t="str">
        <f t="shared" si="411"/>
        <v>19.6196196196196</v>
      </c>
      <c r="Q518" s="4" t="str">
        <f t="shared" si="412"/>
        <v>1+1520.88934440003i</v>
      </c>
      <c r="R518" s="4">
        <f t="shared" si="424"/>
        <v>1520.8896731550099</v>
      </c>
      <c r="S518" s="4">
        <f t="shared" si="425"/>
        <v>1.5701388168586377</v>
      </c>
      <c r="T518" s="4" t="str">
        <f t="shared" si="413"/>
        <v>1+23.6247767549952i</v>
      </c>
      <c r="U518" s="4">
        <f t="shared" si="426"/>
        <v>23.645931504666112</v>
      </c>
      <c r="V518" s="4">
        <f t="shared" si="427"/>
        <v>1.5284931372563555</v>
      </c>
      <c r="W518" t="str">
        <f t="shared" si="414"/>
        <v>1-13.7444678594554i</v>
      </c>
      <c r="X518" s="4">
        <f t="shared" si="428"/>
        <v>13.780798116930763</v>
      </c>
      <c r="Y518" s="4">
        <f t="shared" si="429"/>
        <v>-1.4981677544560166</v>
      </c>
      <c r="Z518" t="str">
        <f t="shared" si="415"/>
        <v>9.20037848551297i</v>
      </c>
      <c r="AA518" s="4">
        <f t="shared" si="430"/>
        <v>9.2003784855129709</v>
      </c>
      <c r="AB518" s="4">
        <f t="shared" si="431"/>
        <v>1.5707963267948966</v>
      </c>
      <c r="AC518" s="47" t="str">
        <f t="shared" si="432"/>
        <v>-0.456677373377051-0.0141537152685548i</v>
      </c>
      <c r="AD518" s="20">
        <f t="shared" si="433"/>
        <v>-6.8036404778597532</v>
      </c>
      <c r="AE518" s="43">
        <f t="shared" si="434"/>
        <v>-178.22481100908641</v>
      </c>
      <c r="AF518" t="str">
        <f t="shared" si="416"/>
        <v>72.2956529813786</v>
      </c>
      <c r="AG518" t="str">
        <f t="shared" si="417"/>
        <v>1+1240.30077963725i</v>
      </c>
      <c r="AH518">
        <f t="shared" si="435"/>
        <v>1240.3011827652065</v>
      </c>
      <c r="AI518">
        <f t="shared" si="436"/>
        <v>1.5699900709255665</v>
      </c>
      <c r="AJ518" t="str">
        <f t="shared" si="418"/>
        <v>1+23.6247767549952i</v>
      </c>
      <c r="AK518">
        <f t="shared" si="437"/>
        <v>23.645931504666112</v>
      </c>
      <c r="AL518">
        <f t="shared" si="438"/>
        <v>1.5284931372563555</v>
      </c>
      <c r="AM518" t="str">
        <f t="shared" si="419"/>
        <v>1-3.04183400698021i</v>
      </c>
      <c r="AN518">
        <f t="shared" si="439"/>
        <v>3.2019922120488178</v>
      </c>
      <c r="AO518">
        <f t="shared" si="440"/>
        <v>-1.2531772978144622</v>
      </c>
      <c r="AP518" s="41" t="str">
        <f t="shared" si="441"/>
        <v>1.20317863021101-4.24610684752314i</v>
      </c>
      <c r="AQ518">
        <f t="shared" si="442"/>
        <v>12.895234506620818</v>
      </c>
      <c r="AR518" s="43">
        <f t="shared" si="443"/>
        <v>-74.179369308357877</v>
      </c>
      <c r="AS518" t="str">
        <f t="shared" si="420"/>
        <v>-0.0000166666666666667</v>
      </c>
      <c r="AT518" t="str">
        <f t="shared" si="421"/>
        <v>0.0213628300444106i</v>
      </c>
      <c r="AU518">
        <f t="shared" si="444"/>
        <v>2.13628300444106E-2</v>
      </c>
      <c r="AV518">
        <f t="shared" si="445"/>
        <v>1.5707963267948966</v>
      </c>
      <c r="AW518" t="str">
        <f t="shared" si="422"/>
        <v>1+21.3443500876248i</v>
      </c>
      <c r="AX518">
        <f t="shared" si="446"/>
        <v>21.367762649914681</v>
      </c>
      <c r="AY518">
        <f t="shared" si="447"/>
        <v>1.5239797551029661</v>
      </c>
      <c r="AZ518" t="str">
        <f t="shared" si="423"/>
        <v>1+725.707902979242i</v>
      </c>
      <c r="BA518">
        <f t="shared" si="448"/>
        <v>725.70859196135268</v>
      </c>
      <c r="BB518">
        <f t="shared" si="449"/>
        <v>1.5694183627917953</v>
      </c>
      <c r="BC518" s="41" t="str">
        <f t="shared" si="450"/>
        <v>-0.00120356274934272+0.0264694359640614i</v>
      </c>
      <c r="BD518">
        <f t="shared" si="451"/>
        <v>-31.536136436803098</v>
      </c>
      <c r="BE518" s="43">
        <f t="shared" si="452"/>
        <v>92.603440447520583</v>
      </c>
      <c r="BF518" s="41" t="str">
        <f t="shared" si="453"/>
        <v>0.000924280735018865-0.0120709576063776i</v>
      </c>
      <c r="BG518" s="20">
        <f t="shared" si="454"/>
        <v>-38.339776914662835</v>
      </c>
      <c r="BH518" s="43">
        <f t="shared" si="455"/>
        <v>-85.621370561565826</v>
      </c>
      <c r="BI518" s="41" t="str">
        <f t="shared" si="460"/>
        <v>0.110943952316949+0.0369579157371053i</v>
      </c>
      <c r="BJ518" s="20">
        <f t="shared" si="456"/>
        <v>-18.640901930182295</v>
      </c>
      <c r="BK518" s="43">
        <f t="shared" si="461"/>
        <v>18.424071139162727</v>
      </c>
      <c r="BL518">
        <f t="shared" si="457"/>
        <v>-38.339776914662835</v>
      </c>
      <c r="BM518" s="43">
        <f t="shared" si="458"/>
        <v>-85.621370561565826</v>
      </c>
    </row>
    <row r="519" spans="14:65" x14ac:dyDescent="0.25">
      <c r="N519" s="9">
        <v>1</v>
      </c>
      <c r="O519" s="34">
        <f>10^(6+(N519/100))</f>
        <v>1023292.9922807553</v>
      </c>
      <c r="P519" s="33" t="str">
        <f t="shared" si="411"/>
        <v>19.6196196196196</v>
      </c>
      <c r="Q519" s="4" t="str">
        <f t="shared" si="412"/>
        <v>1+1556.31540815903i</v>
      </c>
      <c r="R519" s="4">
        <f t="shared" si="424"/>
        <v>1556.315729430635</v>
      </c>
      <c r="S519" s="4">
        <f t="shared" si="425"/>
        <v>1.5701537836078685</v>
      </c>
      <c r="T519" s="4" t="str">
        <f t="shared" si="413"/>
        <v>1+24.1750684975839i</v>
      </c>
      <c r="U519" s="4">
        <f t="shared" si="426"/>
        <v>24.195742122589952</v>
      </c>
      <c r="V519" s="4">
        <f t="shared" si="427"/>
        <v>1.5294549658606302</v>
      </c>
      <c r="W519" t="str">
        <f t="shared" si="414"/>
        <v>1-14.0646176432087i</v>
      </c>
      <c r="X519" s="4">
        <f t="shared" si="428"/>
        <v>14.10012302959295</v>
      </c>
      <c r="Y519" s="4">
        <f t="shared" si="429"/>
        <v>-1.499815370971828</v>
      </c>
      <c r="Z519" t="str">
        <f t="shared" si="415"/>
        <v>-0.0471285480509001+9.41468283055605i</v>
      </c>
      <c r="AA519" s="4">
        <f t="shared" si="430"/>
        <v>9.4148007891833938</v>
      </c>
      <c r="AB519" s="4">
        <f t="shared" si="431"/>
        <v>1.575802141143251</v>
      </c>
      <c r="AC519" s="47" t="str">
        <f t="shared" si="432"/>
        <v>-0.456672481066459-0.0115454603430968i</v>
      </c>
      <c r="AD519" s="20">
        <f t="shared" si="433"/>
        <v>-6.8051281903886345</v>
      </c>
      <c r="AE519" s="43">
        <f t="shared" si="434"/>
        <v>-178.55177332880928</v>
      </c>
      <c r="AF519" t="str">
        <f t="shared" si="416"/>
        <v>72.2956529813786</v>
      </c>
      <c r="AG519" t="str">
        <f t="shared" si="417"/>
        <v>1+1269.19109612316i</v>
      </c>
      <c r="AH519">
        <f t="shared" si="435"/>
        <v>1269.1914900748066</v>
      </c>
      <c r="AI519">
        <f t="shared" si="436"/>
        <v>1.5700084235420892</v>
      </c>
      <c r="AJ519" t="str">
        <f t="shared" si="418"/>
        <v>1+24.1750684975839i</v>
      </c>
      <c r="AK519">
        <f t="shared" si="437"/>
        <v>24.195742122589952</v>
      </c>
      <c r="AL519">
        <f t="shared" si="438"/>
        <v>1.5294549658606302</v>
      </c>
      <c r="AM519" t="str">
        <f t="shared" si="419"/>
        <v>1-3.11268742302414i</v>
      </c>
      <c r="AN519">
        <f t="shared" si="439"/>
        <v>3.269376545069818</v>
      </c>
      <c r="AO519">
        <f t="shared" si="440"/>
        <v>-1.2599455868325584</v>
      </c>
      <c r="AP519" s="41" t="str">
        <f t="shared" si="441"/>
        <v>1.20317655025866-4.34237152453462i</v>
      </c>
      <c r="AQ519">
        <f t="shared" si="442"/>
        <v>13.075778459006806</v>
      </c>
      <c r="AR519" s="43">
        <f t="shared" si="443"/>
        <v>-74.513106511449308</v>
      </c>
      <c r="AS519" t="str">
        <f t="shared" si="420"/>
        <v>-0.0000166666666666667</v>
      </c>
      <c r="AT519" t="str">
        <f t="shared" si="421"/>
        <v>0.0218604342797301i</v>
      </c>
      <c r="AU519">
        <f t="shared" si="444"/>
        <v>2.1860434279730102E-2</v>
      </c>
      <c r="AV519">
        <f t="shared" si="445"/>
        <v>1.5707963267948966</v>
      </c>
      <c r="AW519" t="str">
        <f t="shared" si="422"/>
        <v>1+21.8415238694536i</v>
      </c>
      <c r="AX519">
        <f t="shared" si="446"/>
        <v>21.864404060936838</v>
      </c>
      <c r="AY519">
        <f t="shared" si="447"/>
        <v>1.5250439265562414</v>
      </c>
      <c r="AZ519" t="str">
        <f t="shared" si="423"/>
        <v>1+742.611811561421i</v>
      </c>
      <c r="BA519">
        <f t="shared" si="448"/>
        <v>742.61248486039835</v>
      </c>
      <c r="BB519">
        <f t="shared" si="449"/>
        <v>1.5694497290435687</v>
      </c>
      <c r="BC519" s="41" t="str">
        <f t="shared" si="450"/>
        <v>-0.00114950681485223+0.0258693929576774i</v>
      </c>
      <c r="BD519">
        <f t="shared" si="451"/>
        <v>-31.73570868187695</v>
      </c>
      <c r="BE519" s="43">
        <f t="shared" si="452"/>
        <v>92.544265068415385</v>
      </c>
      <c r="BF519" s="41" t="str">
        <f t="shared" si="453"/>
        <v>0.000823622179634223-0.0118005682803207i</v>
      </c>
      <c r="BG519" s="20">
        <f t="shared" si="454"/>
        <v>-38.540836872265601</v>
      </c>
      <c r="BH519" s="43">
        <f t="shared" si="455"/>
        <v>-86.007508260393863</v>
      </c>
      <c r="BI519" s="41" t="str">
        <f t="shared" si="460"/>
        <v>0.110951455692422+0.0361170326361768i</v>
      </c>
      <c r="BJ519" s="20">
        <f t="shared" si="456"/>
        <v>-18.659930222870148</v>
      </c>
      <c r="BK519" s="43">
        <f t="shared" si="461"/>
        <v>18.031158556966105</v>
      </c>
      <c r="BL519">
        <f t="shared" si="457"/>
        <v>-38.540836872265601</v>
      </c>
      <c r="BM519" s="43">
        <f t="shared" si="458"/>
        <v>-86.007508260393863</v>
      </c>
    </row>
    <row r="520" spans="14:65" x14ac:dyDescent="0.25">
      <c r="N520" s="9">
        <v>2</v>
      </c>
      <c r="O520" s="34">
        <f t="shared" ref="O520:O560" si="462">10^(6+(N520/100))</f>
        <v>1047128.5480509007</v>
      </c>
      <c r="P520" s="33" t="str">
        <f t="shared" si="411"/>
        <v>19.6196196196196</v>
      </c>
      <c r="Q520" s="4" t="str">
        <f t="shared" si="412"/>
        <v>1+1592.56665094769i</v>
      </c>
      <c r="R520" s="4">
        <f t="shared" si="424"/>
        <v>1592.5669649062613</v>
      </c>
      <c r="S520" s="4">
        <f t="shared" si="425"/>
        <v>1.5701684096725719</v>
      </c>
      <c r="T520" s="4" t="str">
        <f t="shared" si="413"/>
        <v>1+24.7381781814848i</v>
      </c>
      <c r="U520" s="4">
        <f t="shared" si="426"/>
        <v>24.758381605809586</v>
      </c>
      <c r="V520" s="4">
        <f t="shared" si="427"/>
        <v>1.5303949745329408</v>
      </c>
      <c r="W520" t="str">
        <f t="shared" si="414"/>
        <v>1-14.3922246734037i</v>
      </c>
      <c r="X520" s="4">
        <f t="shared" si="428"/>
        <v>14.426923824909116</v>
      </c>
      <c r="Y520" s="4">
        <f t="shared" si="429"/>
        <v>-1.5014258562521934</v>
      </c>
      <c r="Z520" t="str">
        <f t="shared" si="415"/>
        <v>-0.09647819614319+9.63397896505393i</v>
      </c>
      <c r="AA520" s="4">
        <f t="shared" si="430"/>
        <v>9.6344620369500991</v>
      </c>
      <c r="AB520" s="4">
        <f t="shared" si="431"/>
        <v>1.5808103585361251</v>
      </c>
      <c r="AC520" s="47" t="str">
        <f t="shared" si="432"/>
        <v>-0.456644384923865-0.00894361196529361i</v>
      </c>
      <c r="AD520" s="20">
        <f t="shared" si="433"/>
        <v>-6.8067719648430538</v>
      </c>
      <c r="AE520" s="43">
        <f t="shared" si="434"/>
        <v>-178.87797653998712</v>
      </c>
      <c r="AF520" t="str">
        <f t="shared" si="416"/>
        <v>72.2956529813786</v>
      </c>
      <c r="AG520" t="str">
        <f t="shared" si="417"/>
        <v>1+1298.75435452795i</v>
      </c>
      <c r="AH520">
        <f t="shared" si="435"/>
        <v>1298.7547395121651</v>
      </c>
      <c r="AI520">
        <f t="shared" si="436"/>
        <v>1.5700263584025702</v>
      </c>
      <c r="AJ520" t="str">
        <f t="shared" si="418"/>
        <v>1+24.7381781814848i</v>
      </c>
      <c r="AK520">
        <f t="shared" si="437"/>
        <v>24.758381605809586</v>
      </c>
      <c r="AL520">
        <f t="shared" si="438"/>
        <v>1.5303949745329408</v>
      </c>
      <c r="AM520" t="str">
        <f t="shared" si="419"/>
        <v>1-3.18519122714104i</v>
      </c>
      <c r="AN520">
        <f t="shared" si="439"/>
        <v>3.3384791677433365</v>
      </c>
      <c r="AO520">
        <f t="shared" si="440"/>
        <v>-1.2665883745575908</v>
      </c>
      <c r="AP520" s="41" t="str">
        <f t="shared" si="441"/>
        <v>1.20317456391947-4.44093858425896i</v>
      </c>
      <c r="AQ520">
        <f t="shared" si="442"/>
        <v>13.257119246402649</v>
      </c>
      <c r="AR520" s="43">
        <f t="shared" si="443"/>
        <v>-74.840879274477629</v>
      </c>
      <c r="AS520" t="str">
        <f t="shared" si="420"/>
        <v>-0.0000166666666666667</v>
      </c>
      <c r="AT520" t="str">
        <f t="shared" si="421"/>
        <v>0.0223696292066618i</v>
      </c>
      <c r="AU520">
        <f t="shared" si="444"/>
        <v>2.2369629206661801E-2</v>
      </c>
      <c r="AV520">
        <f t="shared" si="445"/>
        <v>1.5707963267948966</v>
      </c>
      <c r="AW520" t="str">
        <f t="shared" si="422"/>
        <v>1+22.3502783163447i</v>
      </c>
      <c r="AX520">
        <f t="shared" si="446"/>
        <v>22.372638217654796</v>
      </c>
      <c r="AY520">
        <f t="shared" si="447"/>
        <v>1.5260839747213062</v>
      </c>
      <c r="AZ520" t="str">
        <f t="shared" si="423"/>
        <v>1+759.909462755717i</v>
      </c>
      <c r="BA520">
        <f t="shared" si="448"/>
        <v>759.91012072855187</v>
      </c>
      <c r="BB520">
        <f t="shared" si="449"/>
        <v>1.5694803813148441</v>
      </c>
      <c r="BC520" s="41" t="str">
        <f t="shared" si="450"/>
        <v>-0.00109787384783798+0.0252828438528731i</v>
      </c>
      <c r="BD520">
        <f t="shared" si="451"/>
        <v>-31.935300139692153</v>
      </c>
      <c r="BE520" s="43">
        <f t="shared" si="452"/>
        <v>92.486430943843416</v>
      </c>
      <c r="BF520" s="41" t="str">
        <f t="shared" si="453"/>
        <v>0.000727457872769177-0.0115354497226395i</v>
      </c>
      <c r="BG520" s="20">
        <f t="shared" si="454"/>
        <v>-38.742072104535168</v>
      </c>
      <c r="BH520" s="43">
        <f t="shared" si="455"/>
        <v>-86.391545596143729</v>
      </c>
      <c r="BI520" s="41" t="str">
        <f t="shared" si="460"/>
        <v>0.110958622897908+0.0352952649588372i</v>
      </c>
      <c r="BJ520" s="20">
        <f t="shared" si="456"/>
        <v>-18.678180893289472</v>
      </c>
      <c r="BK520" s="43">
        <f t="shared" si="461"/>
        <v>17.645551669365744</v>
      </c>
      <c r="BL520">
        <f t="shared" si="457"/>
        <v>-38.742072104535168</v>
      </c>
      <c r="BM520" s="43">
        <f t="shared" si="458"/>
        <v>-86.391545596143729</v>
      </c>
    </row>
    <row r="521" spans="14:65" x14ac:dyDescent="0.25">
      <c r="N521" s="9">
        <v>3</v>
      </c>
      <c r="O521" s="34">
        <f t="shared" si="462"/>
        <v>1071519.3052376076</v>
      </c>
      <c r="P521" s="33" t="str">
        <f t="shared" si="411"/>
        <v>19.6196196196196</v>
      </c>
      <c r="Q521" s="4" t="str">
        <f t="shared" si="412"/>
        <v>1+1629.6622936548i</v>
      </c>
      <c r="R521" s="4">
        <f t="shared" si="424"/>
        <v>1629.6626004668033</v>
      </c>
      <c r="S521" s="4">
        <f t="shared" si="425"/>
        <v>1.5701827028076558</v>
      </c>
      <c r="T521" s="4" t="str">
        <f t="shared" si="413"/>
        <v>1+25.314404374906i</v>
      </c>
      <c r="U521" s="4">
        <f t="shared" si="426"/>
        <v>25.334148275721844</v>
      </c>
      <c r="V521" s="4">
        <f t="shared" si="427"/>
        <v>1.5313136550296842</v>
      </c>
      <c r="W521" t="str">
        <f t="shared" si="414"/>
        <v>1-14.7274626516242i</v>
      </c>
      <c r="X521" s="4">
        <f t="shared" si="428"/>
        <v>14.761373789555826</v>
      </c>
      <c r="Y521" s="4">
        <f t="shared" si="429"/>
        <v>-1.5030000307625146</v>
      </c>
      <c r="Z521" t="str">
        <f t="shared" si="415"/>
        <v>-0.14815362149688+9.85838316271987i</v>
      </c>
      <c r="AA521" s="4">
        <f t="shared" si="430"/>
        <v>9.8594963400044566</v>
      </c>
      <c r="AB521" s="4">
        <f t="shared" si="431"/>
        <v>1.5858233821692433</v>
      </c>
      <c r="AC521" s="47" t="str">
        <f t="shared" si="432"/>
        <v>-0.456593034888332-0.0063471400462279i</v>
      </c>
      <c r="AD521" s="20">
        <f t="shared" si="433"/>
        <v>-6.8085752043808707</v>
      </c>
      <c r="AE521" s="43">
        <f t="shared" si="434"/>
        <v>-179.20357761355456</v>
      </c>
      <c r="AF521" t="str">
        <f t="shared" si="416"/>
        <v>72.2956529813786</v>
      </c>
      <c r="AG521" t="str">
        <f t="shared" si="417"/>
        <v>1+1329.00622968257i</v>
      </c>
      <c r="AH521">
        <f t="shared" si="435"/>
        <v>1329.0066059034771</v>
      </c>
      <c r="AI521">
        <f t="shared" si="436"/>
        <v>1.5700438850162632</v>
      </c>
      <c r="AJ521" t="str">
        <f t="shared" si="418"/>
        <v>1+25.314404374906i</v>
      </c>
      <c r="AK521">
        <f t="shared" si="437"/>
        <v>25.334148275721844</v>
      </c>
      <c r="AL521">
        <f t="shared" si="438"/>
        <v>1.5313136550296842</v>
      </c>
      <c r="AM521" t="str">
        <f t="shared" si="419"/>
        <v>1-3.25938386180756i</v>
      </c>
      <c r="AN521">
        <f t="shared" si="439"/>
        <v>3.4093376422131563</v>
      </c>
      <c r="AO521">
        <f t="shared" si="440"/>
        <v>-1.273106837263454</v>
      </c>
      <c r="AP521" s="41" t="str">
        <f t="shared" si="441"/>
        <v>1.20317266698015-4.54186028826569i</v>
      </c>
      <c r="AQ521">
        <f t="shared" si="442"/>
        <v>13.43922733218988</v>
      </c>
      <c r="AR521" s="43">
        <f t="shared" si="443"/>
        <v>-75.162727362246471</v>
      </c>
      <c r="AS521" t="str">
        <f t="shared" si="420"/>
        <v>-0.0000166666666666667</v>
      </c>
      <c r="AT521" t="str">
        <f t="shared" si="421"/>
        <v>0.0228906848070959i</v>
      </c>
      <c r="AU521">
        <f t="shared" si="444"/>
        <v>2.2890684807095898E-2</v>
      </c>
      <c r="AV521">
        <f t="shared" si="445"/>
        <v>1.5707963267948966</v>
      </c>
      <c r="AW521" t="str">
        <f t="shared" si="422"/>
        <v>1+22.87088317664i</v>
      </c>
      <c r="AX521">
        <f t="shared" si="446"/>
        <v>22.892734595926161</v>
      </c>
      <c r="AY521">
        <f t="shared" si="447"/>
        <v>1.5271004420401801</v>
      </c>
      <c r="AZ521" t="str">
        <f t="shared" si="423"/>
        <v>1+777.610028005758i</v>
      </c>
      <c r="BA521">
        <f t="shared" si="448"/>
        <v>777.61067100131515</v>
      </c>
      <c r="BB521">
        <f t="shared" si="449"/>
        <v>1.5695103358576308</v>
      </c>
      <c r="BC521" s="41" t="str">
        <f t="shared" si="450"/>
        <v>-0.00104855566975687+0.0247094924386521i</v>
      </c>
      <c r="BD521">
        <f t="shared" si="451"/>
        <v>-32.134909948992942</v>
      </c>
      <c r="BE521" s="43">
        <f t="shared" si="452"/>
        <v>92.429907925337901</v>
      </c>
      <c r="BF521" s="41" t="str">
        <f t="shared" si="453"/>
        <v>0.000635597824482991-0.0112755268134322i</v>
      </c>
      <c r="BG521" s="20">
        <f t="shared" si="454"/>
        <v>-38.94348515337385</v>
      </c>
      <c r="BH521" s="43">
        <f t="shared" si="455"/>
        <v>-86.773669688216657</v>
      </c>
      <c r="BI521" s="41" t="str">
        <f t="shared" si="460"/>
        <v>0.110965468928657+0.0344921792736435i</v>
      </c>
      <c r="BJ521" s="20">
        <f t="shared" si="456"/>
        <v>-18.695682616803044</v>
      </c>
      <c r="BK521" s="43">
        <f t="shared" si="461"/>
        <v>17.267180563091415</v>
      </c>
      <c r="BL521">
        <f t="shared" si="457"/>
        <v>-38.94348515337385</v>
      </c>
      <c r="BM521" s="43">
        <f t="shared" si="458"/>
        <v>-86.773669688216657</v>
      </c>
    </row>
    <row r="522" spans="14:65" x14ac:dyDescent="0.25">
      <c r="N522" s="9">
        <v>4</v>
      </c>
      <c r="O522" s="34">
        <f t="shared" si="462"/>
        <v>1096478.196143186</v>
      </c>
      <c r="P522" s="33" t="str">
        <f t="shared" si="411"/>
        <v>19.6196196196196</v>
      </c>
      <c r="Q522" s="4" t="str">
        <f t="shared" si="412"/>
        <v>1+1667.62200488114i</v>
      </c>
      <c r="R522" s="4">
        <f t="shared" si="424"/>
        <v>1667.6223047092506</v>
      </c>
      <c r="S522" s="4">
        <f t="shared" si="425"/>
        <v>1.570196670591506</v>
      </c>
      <c r="T522" s="4" t="str">
        <f t="shared" si="413"/>
        <v>1+25.9040526006026i</v>
      </c>
      <c r="U522" s="4">
        <f t="shared" si="426"/>
        <v>25.923347413765573</v>
      </c>
      <c r="V522" s="4">
        <f t="shared" si="427"/>
        <v>1.5322114882411442</v>
      </c>
      <c r="W522" t="str">
        <f t="shared" si="414"/>
        <v>1-15.0705093254836i</v>
      </c>
      <c r="X522" s="4">
        <f t="shared" si="428"/>
        <v>15.103650265067985</v>
      </c>
      <c r="Y522" s="4">
        <f t="shared" si="429"/>
        <v>-1.5045386979266571</v>
      </c>
      <c r="Z522" t="str">
        <f t="shared" si="415"/>
        <v>-0.20226443461741+10.0880144056298i</v>
      </c>
      <c r="AA522" s="4">
        <f t="shared" si="430"/>
        <v>10.090041900294837</v>
      </c>
      <c r="AB522" s="4">
        <f t="shared" si="431"/>
        <v>1.5908436155364158</v>
      </c>
      <c r="AC522" s="47" t="str">
        <f t="shared" si="432"/>
        <v>-0.456518338644799-0.00375502004326918i</v>
      </c>
      <c r="AD522" s="20">
        <f t="shared" si="433"/>
        <v>-6.8105416201147921</v>
      </c>
      <c r="AE522" s="43">
        <f t="shared" si="434"/>
        <v>-179.52873317358547</v>
      </c>
      <c r="AF522" t="str">
        <f t="shared" si="416"/>
        <v>72.2956529813786</v>
      </c>
      <c r="AG522" t="str">
        <f t="shared" si="417"/>
        <v>1+1359.96276153164i</v>
      </c>
      <c r="AH522">
        <f t="shared" si="435"/>
        <v>1359.9631291887158</v>
      </c>
      <c r="AI522">
        <f t="shared" si="436"/>
        <v>1.5700610126759682</v>
      </c>
      <c r="AJ522" t="str">
        <f t="shared" si="418"/>
        <v>1+25.9040526006026i</v>
      </c>
      <c r="AK522">
        <f t="shared" si="437"/>
        <v>25.923347413765573</v>
      </c>
      <c r="AL522">
        <f t="shared" si="438"/>
        <v>1.5322114882411442</v>
      </c>
      <c r="AM522" t="str">
        <f t="shared" si="419"/>
        <v>1-3.33530466494066i</v>
      </c>
      <c r="AN522">
        <f t="shared" si="439"/>
        <v>3.4819904089435587</v>
      </c>
      <c r="AO522">
        <f t="shared" si="440"/>
        <v>-1.2795022145490538</v>
      </c>
      <c r="AP522" s="41" t="str">
        <f t="shared" si="441"/>
        <v>1.20317085541709-4.64519014658741i</v>
      </c>
      <c r="AQ522">
        <f t="shared" si="442"/>
        <v>13.622074024433985</v>
      </c>
      <c r="AR522" s="43">
        <f t="shared" si="443"/>
        <v>-75.478694777995813</v>
      </c>
      <c r="AS522" t="str">
        <f t="shared" si="420"/>
        <v>-0.0000166666666666667</v>
      </c>
      <c r="AT522" t="str">
        <f t="shared" si="421"/>
        <v>0.0234238773516088i</v>
      </c>
      <c r="AU522">
        <f t="shared" si="444"/>
        <v>2.34238773516088E-2</v>
      </c>
      <c r="AV522">
        <f t="shared" si="445"/>
        <v>1.5707963267948966</v>
      </c>
      <c r="AW522" t="str">
        <f t="shared" si="422"/>
        <v>1+23.4036144819275i</v>
      </c>
      <c r="AX522">
        <f t="shared" si="446"/>
        <v>23.42496896089057</v>
      </c>
      <c r="AY522">
        <f t="shared" si="447"/>
        <v>1.5280938590507471</v>
      </c>
      <c r="AZ522" t="str">
        <f t="shared" si="423"/>
        <v>1+795.722892385533i</v>
      </c>
      <c r="BA522">
        <f t="shared" si="448"/>
        <v>795.72352074473622</v>
      </c>
      <c r="BB522">
        <f t="shared" si="449"/>
        <v>1.5695396085540088</v>
      </c>
      <c r="BC522" s="41" t="str">
        <f t="shared" si="450"/>
        <v>-0.00100144889442166+0.0241490485211269i</v>
      </c>
      <c r="BD522">
        <f t="shared" si="451"/>
        <v>-32.334537286983107</v>
      </c>
      <c r="BE522" s="43">
        <f t="shared" si="452"/>
        <v>92.374666525293307</v>
      </c>
      <c r="BF522" s="41" t="str">
        <f t="shared" si="453"/>
        <v>0.000547859946741758-0.0110207230500466i</v>
      </c>
      <c r="BG522" s="20">
        <f t="shared" si="454"/>
        <v>-39.145078907097925</v>
      </c>
      <c r="BH522" s="43">
        <f t="shared" si="455"/>
        <v>-87.154066648292158</v>
      </c>
      <c r="BI522" s="41" t="str">
        <f t="shared" si="460"/>
        <v>0.110972008116842+0.0337073519033514i</v>
      </c>
      <c r="BJ522" s="20">
        <f t="shared" si="456"/>
        <v>-18.712463262549136</v>
      </c>
      <c r="BK522" s="43">
        <f t="shared" si="461"/>
        <v>16.895971747297505</v>
      </c>
      <c r="BL522">
        <f t="shared" si="457"/>
        <v>-39.145078907097925</v>
      </c>
      <c r="BM522" s="43">
        <f t="shared" si="458"/>
        <v>-87.154066648292158</v>
      </c>
    </row>
    <row r="523" spans="14:65" x14ac:dyDescent="0.25">
      <c r="N523" s="9">
        <v>5</v>
      </c>
      <c r="O523" s="34">
        <f t="shared" si="462"/>
        <v>1122018.4543019643</v>
      </c>
      <c r="P523" s="33" t="str">
        <f t="shared" si="411"/>
        <v>19.6196196196196</v>
      </c>
      <c r="Q523" s="4" t="str">
        <f t="shared" si="412"/>
        <v>1+1706.46591136805i</v>
      </c>
      <c r="R523" s="4">
        <f t="shared" si="424"/>
        <v>1706.4662043712408</v>
      </c>
      <c r="S523" s="4">
        <f t="shared" si="425"/>
        <v>1.5702103204300051</v>
      </c>
      <c r="T523" s="4" t="str">
        <f t="shared" si="413"/>
        <v>1+26.5074354978687i</v>
      </c>
      <c r="U523" s="4">
        <f t="shared" si="426"/>
        <v>26.526291423296801</v>
      </c>
      <c r="V523" s="4">
        <f t="shared" si="427"/>
        <v>1.5330889444170914</v>
      </c>
      <c r="W523" t="str">
        <f t="shared" si="414"/>
        <v>1-15.4215465828691i</v>
      </c>
      <c r="X523" s="4">
        <f t="shared" si="428"/>
        <v>15.453934741922575</v>
      </c>
      <c r="Y523" s="4">
        <f t="shared" si="429"/>
        <v>-1.506042644407606</v>
      </c>
      <c r="Z523" t="str">
        <f t="shared" si="415"/>
        <v>-0.25892541179417+10.3229944473083i</v>
      </c>
      <c r="AA523" s="4">
        <f t="shared" si="430"/>
        <v>10.326241171308697</v>
      </c>
      <c r="AB523" s="4">
        <f t="shared" si="431"/>
        <v>1.5958734625677311</v>
      </c>
      <c r="AC523" s="47" t="str">
        <f t="shared" si="432"/>
        <v>-0.456420161556342-0.00116623391683482i</v>
      </c>
      <c r="AD523" s="20">
        <f t="shared" si="433"/>
        <v>-6.8126752380638758</v>
      </c>
      <c r="AE523" s="43">
        <f t="shared" si="434"/>
        <v>-179.85359950859569</v>
      </c>
      <c r="AF523" t="str">
        <f t="shared" si="416"/>
        <v>72.2956529813786</v>
      </c>
      <c r="AG523" t="str">
        <f t="shared" si="417"/>
        <v>1+1391.64036363811i</v>
      </c>
      <c r="AH523">
        <f t="shared" si="435"/>
        <v>1391.6407229262913</v>
      </c>
      <c r="AI523">
        <f t="shared" si="436"/>
        <v>1.5700777504629566</v>
      </c>
      <c r="AJ523" t="str">
        <f t="shared" si="418"/>
        <v>1+26.5074354978687i</v>
      </c>
      <c r="AK523">
        <f t="shared" si="437"/>
        <v>26.526291423296801</v>
      </c>
      <c r="AL523">
        <f t="shared" si="438"/>
        <v>1.5330889444170914</v>
      </c>
      <c r="AM523" t="str">
        <f t="shared" si="419"/>
        <v>1-3.41299389075508i</v>
      </c>
      <c r="AN523">
        <f t="shared" si="439"/>
        <v>3.5564768097558996</v>
      </c>
      <c r="AO523">
        <f t="shared" si="440"/>
        <v>-1.2857758039431524</v>
      </c>
      <c r="AP523" s="41" t="str">
        <f t="shared" si="441"/>
        <v>1.2031691253877-4.75098294609125i</v>
      </c>
      <c r="AQ523">
        <f t="shared" si="442"/>
        <v>13.805631472246336</v>
      </c>
      <c r="AR523" s="43">
        <f t="shared" si="443"/>
        <v>-75.788829441639095</v>
      </c>
      <c r="AS523" t="str">
        <f t="shared" si="420"/>
        <v>-0.0000166666666666667</v>
      </c>
      <c r="AT523" t="str">
        <f t="shared" si="421"/>
        <v>0.0239694895459451i</v>
      </c>
      <c r="AU523">
        <f t="shared" si="444"/>
        <v>2.3969489545945102E-2</v>
      </c>
      <c r="AV523">
        <f t="shared" si="445"/>
        <v>1.5707963267948966</v>
      </c>
      <c r="AW523" t="str">
        <f t="shared" si="422"/>
        <v>1+23.9487546933968i</v>
      </c>
      <c r="AX523">
        <f t="shared" si="446"/>
        <v>23.969623513198854</v>
      </c>
      <c r="AY523">
        <f t="shared" si="447"/>
        <v>1.5290647446283427</v>
      </c>
      <c r="AZ523" t="str">
        <f t="shared" si="423"/>
        <v>1+814.257659575489i</v>
      </c>
      <c r="BA523">
        <f t="shared" si="448"/>
        <v>814.25827363150142</v>
      </c>
      <c r="BB523">
        <f t="shared" si="449"/>
        <v>1.5695682149245478</v>
      </c>
      <c r="BC523" s="41" t="str">
        <f t="shared" si="450"/>
        <v>-0.000956454718996524+0.0236012278344096i</v>
      </c>
      <c r="BD523">
        <f t="shared" si="451"/>
        <v>-32.53418136762113</v>
      </c>
      <c r="BE523" s="43">
        <f t="shared" si="452"/>
        <v>92.320677903606025</v>
      </c>
      <c r="BF523" s="41" t="str">
        <f t="shared" si="453"/>
        <v>0.000464069769745154-0.0107709607711761i</v>
      </c>
      <c r="BG523" s="20">
        <f t="shared" si="454"/>
        <v>-39.34685660568497</v>
      </c>
      <c r="BH523" s="43">
        <f t="shared" si="455"/>
        <v>-87.532921604989681</v>
      </c>
      <c r="BI523" s="41" t="str">
        <f t="shared" si="460"/>
        <v>0.110978254160366+0.0329403687102634i</v>
      </c>
      <c r="BJ523" s="20">
        <f t="shared" si="456"/>
        <v>-18.728549895374808</v>
      </c>
      <c r="BK523" s="43">
        <f t="shared" si="461"/>
        <v>16.531848461966959</v>
      </c>
      <c r="BL523">
        <f t="shared" si="457"/>
        <v>-39.34685660568497</v>
      </c>
      <c r="BM523" s="43">
        <f t="shared" si="458"/>
        <v>-87.532921604989681</v>
      </c>
    </row>
    <row r="524" spans="14:65" x14ac:dyDescent="0.25">
      <c r="N524" s="9">
        <v>6</v>
      </c>
      <c r="O524" s="34">
        <f t="shared" si="462"/>
        <v>1148153.6214968837</v>
      </c>
      <c r="P524" s="33" t="str">
        <f t="shared" si="411"/>
        <v>19.6196196196196</v>
      </c>
      <c r="Q524" s="4" t="str">
        <f t="shared" si="412"/>
        <v>1+1746.21460866892i</v>
      </c>
      <c r="R524" s="4">
        <f t="shared" si="424"/>
        <v>1746.2148950025451</v>
      </c>
      <c r="S524" s="4">
        <f t="shared" si="425"/>
        <v>1.5702236595604573</v>
      </c>
      <c r="T524" s="4" t="str">
        <f t="shared" si="413"/>
        <v>1+27.1248729883031i</v>
      </c>
      <c r="U524" s="4">
        <f t="shared" si="426"/>
        <v>27.143299995239619</v>
      </c>
      <c r="V524" s="4">
        <f t="shared" si="427"/>
        <v>1.5339464833886869</v>
      </c>
      <c r="W524" t="str">
        <f t="shared" si="414"/>
        <v>1-15.7807605483812i</v>
      </c>
      <c r="X524" s="4">
        <f t="shared" si="428"/>
        <v>15.812412955818745</v>
      </c>
      <c r="Y524" s="4">
        <f t="shared" si="429"/>
        <v>-1.5075126403886954</v>
      </c>
      <c r="Z524" t="str">
        <f t="shared" si="415"/>
        <v>-0.31825673855641+10.5634478772837i</v>
      </c>
      <c r="AA524" s="4">
        <f t="shared" si="430"/>
        <v>10.568241027140045</v>
      </c>
      <c r="AB524" s="4">
        <f t="shared" si="431"/>
        <v>1.6009153277547086</v>
      </c>
      <c r="AC524" s="47" t="str">
        <f t="shared" si="432"/>
        <v>-0.456298326562119+0.00142022889563704i</v>
      </c>
      <c r="AD524" s="20">
        <f t="shared" si="433"/>
        <v>-6.8149804065252164</v>
      </c>
      <c r="AE524" s="43">
        <f t="shared" si="434"/>
        <v>179.82166741766204</v>
      </c>
      <c r="AF524" t="str">
        <f t="shared" si="416"/>
        <v>72.2956529813786</v>
      </c>
      <c r="AG524" t="str">
        <f t="shared" si="417"/>
        <v>1+1424.05583188592i</v>
      </c>
      <c r="AH524">
        <f t="shared" si="435"/>
        <v>1424.0561829957062</v>
      </c>
      <c r="AI524">
        <f t="shared" si="436"/>
        <v>1.5700941072517871</v>
      </c>
      <c r="AJ524" t="str">
        <f t="shared" si="418"/>
        <v>1+27.1248729883031i</v>
      </c>
      <c r="AK524">
        <f t="shared" si="437"/>
        <v>27.143299995239619</v>
      </c>
      <c r="AL524">
        <f t="shared" si="438"/>
        <v>1.5339464833886869</v>
      </c>
      <c r="AM524" t="str">
        <f t="shared" si="419"/>
        <v>1-3.4924927311067i</v>
      </c>
      <c r="AN524">
        <f t="shared" si="439"/>
        <v>3.6328371112442044</v>
      </c>
      <c r="AO524">
        <f t="shared" si="440"/>
        <v>-1.2919289557164315</v>
      </c>
      <c r="AP524" s="41" t="str">
        <f t="shared" si="441"/>
        <v>1.20316747322238-4.85929477952788i</v>
      </c>
      <c r="AQ524">
        <f t="shared" si="442"/>
        <v>13.989872660197392</v>
      </c>
      <c r="AR524" s="43">
        <f t="shared" si="443"/>
        <v>-76.09318288007745</v>
      </c>
      <c r="AS524" t="str">
        <f t="shared" si="420"/>
        <v>-0.0000166666666666667</v>
      </c>
      <c r="AT524" t="str">
        <f t="shared" si="421"/>
        <v>0.0245278106809125i</v>
      </c>
      <c r="AU524">
        <f t="shared" si="444"/>
        <v>2.4527810680912501E-2</v>
      </c>
      <c r="AV524">
        <f t="shared" si="445"/>
        <v>1.5707963267948966</v>
      </c>
      <c r="AW524" t="str">
        <f t="shared" si="422"/>
        <v>1+24.5065928516037i</v>
      </c>
      <c r="AX524">
        <f t="shared" si="446"/>
        <v>24.526987038653434</v>
      </c>
      <c r="AY524">
        <f t="shared" si="447"/>
        <v>1.5300136062237795</v>
      </c>
      <c r="AZ524" t="str">
        <f t="shared" si="423"/>
        <v>1+833.224156954526i</v>
      </c>
      <c r="BA524">
        <f t="shared" si="448"/>
        <v>833.22475703292741</v>
      </c>
      <c r="BB524">
        <f t="shared" si="449"/>
        <v>1.5695961701365375</v>
      </c>
      <c r="BC524" s="41" t="str">
        <f t="shared" si="450"/>
        <v>-0.000913478723816232+0.0230657519503952i</v>
      </c>
      <c r="BD524">
        <f t="shared" si="451"/>
        <v>-32.733841439990776</v>
      </c>
      <c r="BE524" s="43">
        <f t="shared" si="452"/>
        <v>92.267913854507867</v>
      </c>
      <c r="BF524" s="41" t="str">
        <f t="shared" si="453"/>
        <v>0.000384060165607899-0.0105261613647414i</v>
      </c>
      <c r="BG524" s="20">
        <f t="shared" si="454"/>
        <v>-39.548821846515963</v>
      </c>
      <c r="BH524" s="43">
        <f t="shared" si="455"/>
        <v>-87.910418727830091</v>
      </c>
      <c r="BI524" s="41" t="str">
        <f t="shared" si="460"/>
        <v>0.110984220150464+0.0321908248859812i</v>
      </c>
      <c r="BJ524" s="20">
        <f t="shared" si="456"/>
        <v>-18.743968779793384</v>
      </c>
      <c r="BK524" s="43">
        <f t="shared" si="461"/>
        <v>16.174730974430446</v>
      </c>
      <c r="BL524">
        <f t="shared" si="457"/>
        <v>-39.548821846515963</v>
      </c>
      <c r="BM524" s="43">
        <f t="shared" si="458"/>
        <v>-87.910418727830091</v>
      </c>
    </row>
    <row r="525" spans="14:65" x14ac:dyDescent="0.25">
      <c r="N525" s="9">
        <v>7</v>
      </c>
      <c r="O525" s="34">
        <f t="shared" si="462"/>
        <v>1174897.5549395324</v>
      </c>
      <c r="P525" s="33" t="str">
        <f t="shared" si="411"/>
        <v>19.6196196196196</v>
      </c>
      <c r="Q525" s="4" t="str">
        <f t="shared" si="412"/>
        <v>1+1786.88917206919i</v>
      </c>
      <c r="R525" s="4">
        <f t="shared" si="424"/>
        <v>1786.889451885067</v>
      </c>
      <c r="S525" s="4">
        <f t="shared" si="425"/>
        <v>1.5702366950554272</v>
      </c>
      <c r="T525" s="4" t="str">
        <f t="shared" si="413"/>
        <v>1+27.7566924454362i</v>
      </c>
      <c r="U525" s="4">
        <f t="shared" si="426"/>
        <v>27.774700277600388</v>
      </c>
      <c r="V525" s="4">
        <f t="shared" si="427"/>
        <v>1.5347845547866761</v>
      </c>
      <c r="W525" t="str">
        <f t="shared" si="414"/>
        <v>1-16.1483416820191i</v>
      </c>
      <c r="X525" s="4">
        <f t="shared" si="428"/>
        <v>16.179274986204899</v>
      </c>
      <c r="Y525" s="4">
        <f t="shared" si="429"/>
        <v>-1.5089494398549521</v>
      </c>
      <c r="Z525" t="str">
        <f t="shared" si="415"/>
        <v>-0.38038426460289+10.8095021871475i</v>
      </c>
      <c r="AA525" s="4">
        <f t="shared" si="430"/>
        <v>10.816192940341997</v>
      </c>
      <c r="AB525" s="4">
        <f t="shared" si="431"/>
        <v>1.6059716162580036</v>
      </c>
      <c r="AC525" s="47" t="str">
        <f t="shared" si="432"/>
        <v>-0.45615261404197+0.00400537048302789i</v>
      </c>
      <c r="AD525" s="20">
        <f t="shared" si="433"/>
        <v>-6.8174618038734858</v>
      </c>
      <c r="AE525" s="43">
        <f t="shared" si="434"/>
        <v>179.49691195618931</v>
      </c>
      <c r="AF525" t="str">
        <f t="shared" si="416"/>
        <v>72.2956529813786</v>
      </c>
      <c r="AG525" t="str">
        <f t="shared" si="417"/>
        <v>1+1457.2263533854i</v>
      </c>
      <c r="AH525">
        <f t="shared" si="435"/>
        <v>1457.2266965029535</v>
      </c>
      <c r="AI525">
        <f t="shared" si="436"/>
        <v>1.5701100917150108</v>
      </c>
      <c r="AJ525" t="str">
        <f t="shared" si="418"/>
        <v>1+27.7566924454362i</v>
      </c>
      <c r="AK525">
        <f t="shared" si="437"/>
        <v>27.774700277600388</v>
      </c>
      <c r="AL525">
        <f t="shared" si="438"/>
        <v>1.5347845547866761</v>
      </c>
      <c r="AM525" t="str">
        <f t="shared" si="419"/>
        <v>1-3.57384333733297i</v>
      </c>
      <c r="AN525">
        <f t="shared" si="439"/>
        <v>3.7111125285821314</v>
      </c>
      <c r="AO525">
        <f t="shared" si="440"/>
        <v>-1.297963067904307</v>
      </c>
      <c r="AP525" s="41" t="str">
        <f t="shared" si="441"/>
        <v>1.20316589541669-4.97018307527257i</v>
      </c>
      <c r="AQ525">
        <f t="shared" si="442"/>
        <v>14.174771400958379</v>
      </c>
      <c r="AR525" s="43">
        <f t="shared" si="443"/>
        <v>-76.391809929796224</v>
      </c>
      <c r="AS525" t="str">
        <f t="shared" si="420"/>
        <v>-0.0000166666666666667</v>
      </c>
      <c r="AT525" t="str">
        <f t="shared" si="421"/>
        <v>0.0250991367857668i</v>
      </c>
      <c r="AU525">
        <f t="shared" si="444"/>
        <v>2.50991367857668E-2</v>
      </c>
      <c r="AV525">
        <f t="shared" si="445"/>
        <v>1.5707963267948966</v>
      </c>
      <c r="AW525" t="str">
        <f t="shared" si="422"/>
        <v>1+25.0774247297238i</v>
      </c>
      <c r="AX525">
        <f t="shared" si="446"/>
        <v>25.097355061339883</v>
      </c>
      <c r="AY525">
        <f t="shared" si="447"/>
        <v>1.5309409400977683</v>
      </c>
      <c r="AZ525" t="str">
        <f t="shared" si="423"/>
        <v>1+852.632440810607i</v>
      </c>
      <c r="BA525">
        <f t="shared" si="448"/>
        <v>852.63302722956564</v>
      </c>
      <c r="BB525">
        <f t="shared" si="449"/>
        <v>1.5696234890120262</v>
      </c>
      <c r="BC525" s="41" t="str">
        <f t="shared" si="450"/>
        <v>-0.000872430680682737+0.0225423481876714i</v>
      </c>
      <c r="BD525">
        <f t="shared" si="451"/>
        <v>-32.933516786741706</v>
      </c>
      <c r="BE525" s="43">
        <f t="shared" si="452"/>
        <v>92.216346793595335</v>
      </c>
      <c r="BF525" s="41" t="str">
        <f t="shared" si="453"/>
        <v>0.000307671079514809-0.0102862454605475i</v>
      </c>
      <c r="BG525" s="20">
        <f t="shared" si="454"/>
        <v>-39.750978590615162</v>
      </c>
      <c r="BH525" s="43">
        <f t="shared" si="455"/>
        <v>-88.286741250215343</v>
      </c>
      <c r="BI525" s="41" t="str">
        <f t="shared" si="460"/>
        <v>0.110989918598153+0.0314583247454923i</v>
      </c>
      <c r="BJ525" s="20">
        <f t="shared" si="456"/>
        <v>-18.758745385783328</v>
      </c>
      <c r="BK525" s="43">
        <f t="shared" si="461"/>
        <v>15.824536863799111</v>
      </c>
      <c r="BL525">
        <f t="shared" si="457"/>
        <v>-39.750978590615162</v>
      </c>
      <c r="BM525" s="43">
        <f t="shared" si="458"/>
        <v>-88.286741250215343</v>
      </c>
    </row>
    <row r="526" spans="14:65" x14ac:dyDescent="0.25">
      <c r="N526" s="9">
        <v>8</v>
      </c>
      <c r="O526" s="34">
        <f t="shared" si="462"/>
        <v>1202264.4346174158</v>
      </c>
      <c r="P526" s="33" t="str">
        <f t="shared" si="411"/>
        <v>19.6196196196196</v>
      </c>
      <c r="Q526" s="4" t="str">
        <f t="shared" si="412"/>
        <v>1+1828.51116776076i</v>
      </c>
      <c r="R526" s="4">
        <f t="shared" si="424"/>
        <v>1828.5114412072508</v>
      </c>
      <c r="S526" s="4">
        <f t="shared" si="425"/>
        <v>1.5702494338264892</v>
      </c>
      <c r="T526" s="4" t="str">
        <f t="shared" si="413"/>
        <v>1+28.403228868307i</v>
      </c>
      <c r="U526" s="4">
        <f t="shared" si="426"/>
        <v>28.420827048934171</v>
      </c>
      <c r="V526" s="4">
        <f t="shared" si="427"/>
        <v>1.5356035982558709</v>
      </c>
      <c r="W526" t="str">
        <f t="shared" si="414"/>
        <v>1-16.5244848801653i</v>
      </c>
      <c r="X526" s="4">
        <f t="shared" si="428"/>
        <v>16.554715357106311</v>
      </c>
      <c r="Y526" s="4">
        <f t="shared" si="429"/>
        <v>-1.510353780874137</v>
      </c>
      <c r="Z526" t="str">
        <f t="shared" si="415"/>
        <v>-0.44543977074593+11.0612878381515i</v>
      </c>
      <c r="AA526" s="4">
        <f t="shared" si="430"/>
        <v>11.070253169092407</v>
      </c>
      <c r="AB526" s="4">
        <f t="shared" si="431"/>
        <v>1.6110447339932017</v>
      </c>
      <c r="AC526" s="47" t="str">
        <f t="shared" si="432"/>
        <v>-0.455982761649085+0.00659018343571974i</v>
      </c>
      <c r="AD526" s="20">
        <f t="shared" si="433"/>
        <v>-6.8201244467925104</v>
      </c>
      <c r="AE526" s="43">
        <f t="shared" si="434"/>
        <v>179.17197876379768</v>
      </c>
      <c r="AF526" t="str">
        <f t="shared" si="416"/>
        <v>72.2956529813786</v>
      </c>
      <c r="AG526" t="str">
        <f t="shared" si="417"/>
        <v>1+1491.16951558612i</v>
      </c>
      <c r="AH526">
        <f t="shared" si="435"/>
        <v>1491.1698508933662</v>
      </c>
      <c r="AI526">
        <f t="shared" si="436"/>
        <v>1.5701257123277688</v>
      </c>
      <c r="AJ526" t="str">
        <f t="shared" si="418"/>
        <v>1+28.403228868307i</v>
      </c>
      <c r="AK526">
        <f t="shared" si="437"/>
        <v>28.420827048934171</v>
      </c>
      <c r="AL526">
        <f t="shared" si="438"/>
        <v>1.5356035982558709</v>
      </c>
      <c r="AM526" t="str">
        <f t="shared" si="419"/>
        <v>1-3.65708884260209i</v>
      </c>
      <c r="AN526">
        <f t="shared" si="439"/>
        <v>3.7913452497345443</v>
      </c>
      <c r="AO526">
        <f t="shared" si="440"/>
        <v>-1.303879581542567</v>
      </c>
      <c r="AP526" s="41" t="str">
        <f t="shared" si="441"/>
        <v>1.20316438862388-5.08370662777436i</v>
      </c>
      <c r="AQ526">
        <f t="shared" si="442"/>
        <v>14.360302326343993</v>
      </c>
      <c r="AR526" s="43">
        <f t="shared" si="443"/>
        <v>-76.684768451861871</v>
      </c>
      <c r="AS526" t="str">
        <f t="shared" si="420"/>
        <v>-0.0000166666666666667</v>
      </c>
      <c r="AT526" t="str">
        <f t="shared" si="421"/>
        <v>0.0256837707851712i</v>
      </c>
      <c r="AU526">
        <f t="shared" si="444"/>
        <v>2.56837707851712E-2</v>
      </c>
      <c r="AV526">
        <f t="shared" si="445"/>
        <v>1.5707963267948966</v>
      </c>
      <c r="AW526" t="str">
        <f t="shared" si="422"/>
        <v>1+25.6615529903744i</v>
      </c>
      <c r="AX526">
        <f t="shared" si="446"/>
        <v>25.681030000328906</v>
      </c>
      <c r="AY526">
        <f t="shared" si="447"/>
        <v>1.5318472315516931</v>
      </c>
      <c r="AZ526" t="str">
        <f t="shared" si="423"/>
        <v>1+872.492801672729i</v>
      </c>
      <c r="BA526">
        <f t="shared" si="448"/>
        <v>872.49337474317144</v>
      </c>
      <c r="BB526">
        <f t="shared" si="449"/>
        <v>1.5696501860356797</v>
      </c>
      <c r="BC526" s="41" t="str">
        <f t="shared" si="450"/>
        <v>-0.000833224369303738+0.0220307495197579i</v>
      </c>
      <c r="BD526">
        <f t="shared" si="451"/>
        <v>-33.13320672259956</v>
      </c>
      <c r="BE526" s="43">
        <f t="shared" si="452"/>
        <v>92.165949745057588</v>
      </c>
      <c r="BF526" s="41" t="str">
        <f t="shared" si="453"/>
        <v>0.000234749268426836-0.0100511331086553i</v>
      </c>
      <c r="BG526" s="20">
        <f t="shared" si="454"/>
        <v>-39.953331169392058</v>
      </c>
      <c r="BH526" s="43">
        <f t="shared" si="455"/>
        <v>-88.662071491144744</v>
      </c>
      <c r="BI526" s="41" t="str">
        <f t="shared" si="460"/>
        <v>0.11099536145955+0.0307424815255179i</v>
      </c>
      <c r="BJ526" s="20">
        <f t="shared" si="456"/>
        <v>-18.77290439625558</v>
      </c>
      <c r="BK526" s="43">
        <f t="shared" si="461"/>
        <v>15.481181293195755</v>
      </c>
      <c r="BL526">
        <f t="shared" si="457"/>
        <v>-39.953331169392058</v>
      </c>
      <c r="BM526" s="43">
        <f t="shared" si="458"/>
        <v>-88.662071491144744</v>
      </c>
    </row>
    <row r="527" spans="14:65" x14ac:dyDescent="0.25">
      <c r="N527" s="9">
        <v>9</v>
      </c>
      <c r="O527" s="34">
        <f t="shared" si="462"/>
        <v>1230268.770812382</v>
      </c>
      <c r="P527" s="33" t="str">
        <f t="shared" si="411"/>
        <v>19.6196196196196</v>
      </c>
      <c r="Q527" s="4" t="str">
        <f t="shared" si="412"/>
        <v>1+1871.10266427668i</v>
      </c>
      <c r="R527" s="4">
        <f t="shared" si="424"/>
        <v>1871.10293149877</v>
      </c>
      <c r="S527" s="4">
        <f t="shared" si="425"/>
        <v>1.5702618826278918</v>
      </c>
      <c r="T527" s="4" t="str">
        <f t="shared" si="413"/>
        <v>1+29.0648250590849i</v>
      </c>
      <c r="U527" s="4">
        <f t="shared" si="426"/>
        <v>29.082022895858014</v>
      </c>
      <c r="V527" s="4">
        <f t="shared" si="427"/>
        <v>1.5364040436659236</v>
      </c>
      <c r="W527" t="str">
        <f t="shared" si="414"/>
        <v>1-16.9093895789224i</v>
      </c>
      <c r="X527" s="4">
        <f t="shared" si="428"/>
        <v>16.938933140306371</v>
      </c>
      <c r="Y527" s="4">
        <f t="shared" si="429"/>
        <v>-1.511726385877102</v>
      </c>
      <c r="Z527" t="str">
        <f t="shared" si="415"/>
        <v>-0.51356124843621+11.3189383303807i</v>
      </c>
      <c r="AA527" s="4">
        <f t="shared" si="430"/>
        <v>11.330582954237473</v>
      </c>
      <c r="AB527" s="4">
        <f t="shared" si="431"/>
        <v>1.6161370876902004</v>
      </c>
      <c r="AC527" s="47" t="str">
        <f t="shared" si="432"/>
        <v>-0.455788464112254+0.00917564978712903i</v>
      </c>
      <c r="AD527" s="20">
        <f t="shared" si="433"/>
        <v>-6.8229736989460568</v>
      </c>
      <c r="AE527" s="43">
        <f t="shared" si="434"/>
        <v>178.84671279550966</v>
      </c>
      <c r="AF527" t="str">
        <f t="shared" si="416"/>
        <v>72.2956529813786</v>
      </c>
      <c r="AG527" t="str">
        <f t="shared" si="417"/>
        <v>1+1525.90331560196i</v>
      </c>
      <c r="AH527">
        <f t="shared" si="435"/>
        <v>1525.9036432766829</v>
      </c>
      <c r="AI527">
        <f t="shared" si="436"/>
        <v>1.5701409773722863</v>
      </c>
      <c r="AJ527" t="str">
        <f t="shared" si="418"/>
        <v>1+29.0648250590849i</v>
      </c>
      <c r="AK527">
        <f t="shared" si="437"/>
        <v>29.082022895858014</v>
      </c>
      <c r="AL527">
        <f t="shared" si="438"/>
        <v>1.5364040436659236</v>
      </c>
      <c r="AM527" t="str">
        <f t="shared" si="419"/>
        <v>1-3.74227338478284i</v>
      </c>
      <c r="AN527">
        <f t="shared" si="439"/>
        <v>3.873578460087522</v>
      </c>
      <c r="AO527">
        <f t="shared" si="440"/>
        <v>-1.3096799761165889</v>
      </c>
      <c r="AP527" s="41" t="str">
        <f t="shared" si="441"/>
        <v>1.20316294964786-5.19992562873005i</v>
      </c>
      <c r="AQ527">
        <f t="shared" si="442"/>
        <v>14.546440876921372</v>
      </c>
      <c r="AR527" s="43">
        <f t="shared" si="443"/>
        <v>-76.972119059362214</v>
      </c>
      <c r="AS527" t="str">
        <f t="shared" si="420"/>
        <v>-0.0000166666666666667</v>
      </c>
      <c r="AT527" t="str">
        <f t="shared" si="421"/>
        <v>0.0262820226598108i</v>
      </c>
      <c r="AU527">
        <f t="shared" si="444"/>
        <v>2.6282022659810798E-2</v>
      </c>
      <c r="AV527">
        <f t="shared" si="445"/>
        <v>1.5707963267948966</v>
      </c>
      <c r="AW527" t="str">
        <f t="shared" si="422"/>
        <v>1+26.2592873460913i</v>
      </c>
      <c r="AX527">
        <f t="shared" si="446"/>
        <v>26.278321330035343</v>
      </c>
      <c r="AY527">
        <f t="shared" si="447"/>
        <v>1.5327329551547197</v>
      </c>
      <c r="AZ527" t="str">
        <f t="shared" si="423"/>
        <v>1+892.815769767104i</v>
      </c>
      <c r="BA527">
        <f t="shared" si="448"/>
        <v>892.81632979287883</v>
      </c>
      <c r="BB527">
        <f t="shared" si="449"/>
        <v>1.5696762753624616</v>
      </c>
      <c r="BC527" s="41" t="str">
        <f t="shared" si="450"/>
        <v>-0.00079577740154889+0.0215306944828739i</v>
      </c>
      <c r="BD527">
        <f t="shared" si="451"/>
        <v>-33.33291059294038</v>
      </c>
      <c r="BE527" s="43">
        <f t="shared" si="452"/>
        <v>92.116696329103974</v>
      </c>
      <c r="BF527" s="41" t="str">
        <f t="shared" si="453"/>
        <v>0.000165148047378687-0.0098207439443644i</v>
      </c>
      <c r="BG527" s="20">
        <f t="shared" si="454"/>
        <v>-40.15588429188643</v>
      </c>
      <c r="BH527" s="43">
        <f t="shared" si="455"/>
        <v>-89.036590875386366</v>
      </c>
      <c r="BI527" s="41" t="str">
        <f t="shared" si="460"/>
        <v>0.111000560160142+0.0300429171870597i</v>
      </c>
      <c r="BJ527" s="20">
        <f t="shared" si="456"/>
        <v>-18.786469716019006</v>
      </c>
      <c r="BK527" s="43">
        <f t="shared" si="461"/>
        <v>15.144577269741738</v>
      </c>
      <c r="BL527">
        <f t="shared" si="457"/>
        <v>-40.15588429188643</v>
      </c>
      <c r="BM527" s="43">
        <f t="shared" si="458"/>
        <v>-89.036590875386366</v>
      </c>
    </row>
    <row r="528" spans="14:65" x14ac:dyDescent="0.25">
      <c r="N528" s="9">
        <v>10</v>
      </c>
      <c r="O528" s="34">
        <f t="shared" si="462"/>
        <v>1258925.4117941677</v>
      </c>
      <c r="P528" s="33" t="str">
        <f t="shared" si="411"/>
        <v>19.6196196196196</v>
      </c>
      <c r="Q528" s="4" t="str">
        <f t="shared" si="412"/>
        <v>1+1914.68624419217i</v>
      </c>
      <c r="R528" s="4">
        <f t="shared" si="424"/>
        <v>1914.6865053315435</v>
      </c>
      <c r="S528" s="4">
        <f t="shared" si="425"/>
        <v>1.5702740480601387</v>
      </c>
      <c r="T528" s="4" t="str">
        <f t="shared" si="413"/>
        <v>1+29.7418318048276i</v>
      </c>
      <c r="U528" s="4">
        <f t="shared" si="426"/>
        <v>29.75863839470238</v>
      </c>
      <c r="V528" s="4">
        <f t="shared" si="427"/>
        <v>1.537186311318397</v>
      </c>
      <c r="W528" t="str">
        <f t="shared" si="414"/>
        <v>1-17.3032598598565i</v>
      </c>
      <c r="X528" s="4">
        <f t="shared" si="428"/>
        <v>17.332132060935869</v>
      </c>
      <c r="Y528" s="4">
        <f t="shared" si="429"/>
        <v>-1.5130679619371061</v>
      </c>
      <c r="Z528" t="str">
        <f t="shared" si="415"/>
        <v>-0.58489319246111+11.5825902735366i</v>
      </c>
      <c r="AA528" s="4">
        <f t="shared" si="430"/>
        <v>11.597348726808727</v>
      </c>
      <c r="AB528" s="4">
        <f t="shared" si="431"/>
        <v>1.6212510849215853</v>
      </c>
      <c r="AC528" s="47" t="str">
        <f t="shared" si="432"/>
        <v>-0.455569373009765+0.0117627399161056i</v>
      </c>
      <c r="AD528" s="20">
        <f t="shared" si="433"/>
        <v>-6.8260152800896732</v>
      </c>
      <c r="AE528" s="43">
        <f t="shared" si="434"/>
        <v>178.52095929858834</v>
      </c>
      <c r="AF528" t="str">
        <f t="shared" si="416"/>
        <v>72.2956529813786</v>
      </c>
      <c r="AG528" t="str">
        <f t="shared" si="417"/>
        <v>1+1561.44616975345i</v>
      </c>
      <c r="AH528">
        <f t="shared" si="435"/>
        <v>1561.4464899693874</v>
      </c>
      <c r="AI528">
        <f t="shared" si="436"/>
        <v>1.5701558949422634</v>
      </c>
      <c r="AJ528" t="str">
        <f t="shared" si="418"/>
        <v>1+29.7418318048276i</v>
      </c>
      <c r="AK528">
        <f t="shared" si="437"/>
        <v>29.75863839470238</v>
      </c>
      <c r="AL528">
        <f t="shared" si="438"/>
        <v>1.537186311318397</v>
      </c>
      <c r="AM528" t="str">
        <f t="shared" si="419"/>
        <v>1-3.82944212984706i</v>
      </c>
      <c r="AN528">
        <f t="shared" si="439"/>
        <v>3.9578563675110279</v>
      </c>
      <c r="AO528">
        <f t="shared" si="440"/>
        <v>-1.3153657652236781</v>
      </c>
      <c r="AP528" s="41" t="str">
        <f t="shared" si="441"/>
        <v>1.20316157543637-5.31890169899834i</v>
      </c>
      <c r="AQ528">
        <f t="shared" si="442"/>
        <v>14.733163290339654</v>
      </c>
      <c r="AR528" s="43">
        <f t="shared" si="443"/>
        <v>-77.253924857263854</v>
      </c>
      <c r="AS528" t="str">
        <f t="shared" si="420"/>
        <v>-0.0000166666666666667</v>
      </c>
      <c r="AT528" t="str">
        <f t="shared" si="421"/>
        <v>0.0268942096107484i</v>
      </c>
      <c r="AU528">
        <f t="shared" si="444"/>
        <v>2.6894209610748399E-2</v>
      </c>
      <c r="AV528">
        <f t="shared" si="445"/>
        <v>1.5707963267948966</v>
      </c>
      <c r="AW528" t="str">
        <f t="shared" si="422"/>
        <v>1+26.8709447235419i</v>
      </c>
      <c r="AX528">
        <f t="shared" si="446"/>
        <v>26.889545744315662</v>
      </c>
      <c r="AY528">
        <f t="shared" si="447"/>
        <v>1.5335985749672092</v>
      </c>
      <c r="AZ528" t="str">
        <f t="shared" si="423"/>
        <v>1+913.612120600424i</v>
      </c>
      <c r="BA528">
        <f t="shared" si="448"/>
        <v>913.61266787846341</v>
      </c>
      <c r="BB528">
        <f t="shared" si="449"/>
        <v>1.5697017708251357</v>
      </c>
      <c r="BC528" s="41" t="str">
        <f t="shared" si="450"/>
        <v>-0.000760011053210633+0.0210419270834069i</v>
      </c>
      <c r="BD528">
        <f t="shared" si="451"/>
        <v>-33.532627772428185</v>
      </c>
      <c r="BE528" s="43">
        <f t="shared" si="452"/>
        <v>92.068560749593388</v>
      </c>
      <c r="BF528" s="41" t="str">
        <f t="shared" si="453"/>
        <v>0.0000987270433758854-0.00959499734065716i</v>
      </c>
      <c r="BG528" s="20">
        <f t="shared" si="454"/>
        <v>-40.358643052517856</v>
      </c>
      <c r="BH528" s="43">
        <f t="shared" si="455"/>
        <v>-89.410479951818289</v>
      </c>
      <c r="BI528" s="41" t="str">
        <f t="shared" si="460"/>
        <v>0.111005525618002+0.0293592622220686i</v>
      </c>
      <c r="BJ528" s="20">
        <f t="shared" si="456"/>
        <v>-18.799464482088545</v>
      </c>
      <c r="BK528" s="43">
        <f t="shared" si="461"/>
        <v>14.814635892329546</v>
      </c>
      <c r="BL528">
        <f t="shared" si="457"/>
        <v>-40.358643052517856</v>
      </c>
      <c r="BM528" s="43">
        <f t="shared" si="458"/>
        <v>-89.410479951818289</v>
      </c>
    </row>
    <row r="529" spans="14:65" x14ac:dyDescent="0.25">
      <c r="N529" s="9">
        <v>11</v>
      </c>
      <c r="O529" s="34">
        <f t="shared" si="462"/>
        <v>1288249.5516931366</v>
      </c>
      <c r="P529" s="33" t="str">
        <f t="shared" si="411"/>
        <v>19.6196196196196</v>
      </c>
      <c r="Q529" s="4" t="str">
        <f t="shared" si="412"/>
        <v>1+1959.28501609821i</v>
      </c>
      <c r="R529" s="4">
        <f t="shared" si="424"/>
        <v>1959.2852712933263</v>
      </c>
      <c r="S529" s="4">
        <f t="shared" si="425"/>
        <v>1.5702859365734889</v>
      </c>
      <c r="T529" s="4" t="str">
        <f t="shared" si="413"/>
        <v>1+30.434608063473i</v>
      </c>
      <c r="U529" s="4">
        <f t="shared" si="426"/>
        <v>30.451032297398655</v>
      </c>
      <c r="V529" s="4">
        <f t="shared" si="427"/>
        <v>1.5379508121501426</v>
      </c>
      <c r="W529" t="str">
        <f t="shared" si="414"/>
        <v>1-17.7063045582041i</v>
      </c>
      <c r="X529" s="4">
        <f t="shared" si="428"/>
        <v>17.734520605527493</v>
      </c>
      <c r="Y529" s="4">
        <f t="shared" si="429"/>
        <v>-1.5143792010477799</v>
      </c>
      <c r="Z529" t="str">
        <f t="shared" si="415"/>
        <v>-0.65958690743756+11.8523834593692i</v>
      </c>
      <c r="AA529" s="4">
        <f t="shared" si="430"/>
        <v>11.870722326648519</v>
      </c>
      <c r="AB529" s="4">
        <f t="shared" si="431"/>
        <v>1.6263891340953454</v>
      </c>
      <c r="AC529" s="47" t="str">
        <f t="shared" si="432"/>
        <v>-0.455325096517176+0.0143524114047029i</v>
      </c>
      <c r="AD529" s="20">
        <f t="shared" si="433"/>
        <v>-6.8292552756278084</v>
      </c>
      <c r="AE529" s="43">
        <f t="shared" si="434"/>
        <v>178.19456380848072</v>
      </c>
      <c r="AF529" t="str">
        <f t="shared" si="416"/>
        <v>72.2956529813786</v>
      </c>
      <c r="AG529" t="str">
        <f t="shared" si="417"/>
        <v>1+1597.81692333233i</v>
      </c>
      <c r="AH529">
        <f t="shared" si="435"/>
        <v>1597.8172362592641</v>
      </c>
      <c r="AI529">
        <f t="shared" si="436"/>
        <v>1.5701704729471666</v>
      </c>
      <c r="AJ529" t="str">
        <f t="shared" si="418"/>
        <v>1+30.434608063473i</v>
      </c>
      <c r="AK529">
        <f t="shared" si="437"/>
        <v>30.451032297398655</v>
      </c>
      <c r="AL529">
        <f t="shared" si="438"/>
        <v>1.5379508121501426</v>
      </c>
      <c r="AM529" t="str">
        <f t="shared" si="419"/>
        <v>1-3.91864129581719i</v>
      </c>
      <c r="AN529">
        <f t="shared" si="439"/>
        <v>4.04422422786915</v>
      </c>
      <c r="AO529">
        <f t="shared" si="440"/>
        <v>-1.3209384924470327</v>
      </c>
      <c r="AP529" s="41" t="str">
        <f t="shared" si="441"/>
        <v>1.20316026307454-5.4406979212722i</v>
      </c>
      <c r="AQ529">
        <f t="shared" si="442"/>
        <v>14.920446588530149</v>
      </c>
      <c r="AR529" s="43">
        <f t="shared" si="443"/>
        <v>-77.530251194601149</v>
      </c>
      <c r="AS529" t="str">
        <f t="shared" si="420"/>
        <v>-0.0000166666666666667</v>
      </c>
      <c r="AT529" t="str">
        <f t="shared" si="421"/>
        <v>0.0275206562276086i</v>
      </c>
      <c r="AU529">
        <f t="shared" si="444"/>
        <v>2.75206562276086E-2</v>
      </c>
      <c r="AV529">
        <f t="shared" si="445"/>
        <v>1.5707963267948966</v>
      </c>
      <c r="AW529" t="str">
        <f t="shared" si="422"/>
        <v>1+27.496849431564i</v>
      </c>
      <c r="AX529">
        <f t="shared" si="446"/>
        <v>27.515027324393149</v>
      </c>
      <c r="AY529">
        <f t="shared" si="447"/>
        <v>1.5344445447604267</v>
      </c>
      <c r="AZ529" t="str">
        <f t="shared" si="423"/>
        <v>1+934.892880673174i</v>
      </c>
      <c r="BA529">
        <f t="shared" si="448"/>
        <v>934.89341549365167</v>
      </c>
      <c r="BB529">
        <f t="shared" si="449"/>
        <v>1.5697266859416015</v>
      </c>
      <c r="BC529" s="41" t="str">
        <f t="shared" si="450"/>
        <v>-0.000725850102966976+0.020564196705248i</v>
      </c>
      <c r="BD529">
        <f t="shared" si="451"/>
        <v>-33.732357663711959</v>
      </c>
      <c r="BE529" s="43">
        <f t="shared" si="452"/>
        <v>92.021517781866038</v>
      </c>
      <c r="BF529" s="41" t="str">
        <f t="shared" si="453"/>
        <v>0.0000353519568694853-0.00937381254891117i</v>
      </c>
      <c r="BG529" s="20">
        <f t="shared" si="454"/>
        <v>-40.56161293933976</v>
      </c>
      <c r="BH529" s="43">
        <f t="shared" si="455"/>
        <v>-89.783918409653239</v>
      </c>
      <c r="BI529" s="41" t="str">
        <f t="shared" si="460"/>
        <v>0.111010268266037+0.0286911554641704i</v>
      </c>
      <c r="BJ529" s="20">
        <f t="shared" si="456"/>
        <v>-18.811911075181804</v>
      </c>
      <c r="BK529" s="43">
        <f t="shared" si="461"/>
        <v>14.491266587264892</v>
      </c>
      <c r="BL529">
        <f t="shared" si="457"/>
        <v>-40.56161293933976</v>
      </c>
      <c r="BM529" s="43">
        <f t="shared" si="458"/>
        <v>-89.783918409653239</v>
      </c>
    </row>
    <row r="530" spans="14:65" x14ac:dyDescent="0.25">
      <c r="N530" s="9">
        <v>12</v>
      </c>
      <c r="O530" s="34">
        <f t="shared" si="462"/>
        <v>1318256.7385564097</v>
      </c>
      <c r="P530" s="33" t="str">
        <f t="shared" si="411"/>
        <v>19.6196196196196</v>
      </c>
      <c r="Q530" s="4" t="str">
        <f t="shared" si="412"/>
        <v>1+2004.92262685398i</v>
      </c>
      <c r="R530" s="4">
        <f t="shared" si="424"/>
        <v>2004.9228762401472</v>
      </c>
      <c r="S530" s="4">
        <f t="shared" si="425"/>
        <v>1.5702975544713758</v>
      </c>
      <c r="T530" s="4" t="str">
        <f t="shared" si="413"/>
        <v>1+31.1435211541633i</v>
      </c>
      <c r="U530" s="4">
        <f t="shared" si="426"/>
        <v>31.159571721700811</v>
      </c>
      <c r="V530" s="4">
        <f t="shared" si="427"/>
        <v>1.5386979479330072</v>
      </c>
      <c r="W530" t="str">
        <f t="shared" si="414"/>
        <v>1-18.118737373599i</v>
      </c>
      <c r="X530" s="4">
        <f t="shared" si="428"/>
        <v>18.14631213259193</v>
      </c>
      <c r="Y530" s="4">
        <f t="shared" si="429"/>
        <v>-1.5156607803994382</v>
      </c>
      <c r="Z530" t="str">
        <f t="shared" si="415"/>
        <v>-0.73780082874938+12.1284609357969i</v>
      </c>
      <c r="AA530" s="4">
        <f t="shared" si="430"/>
        <v>12.150881232818248</v>
      </c>
      <c r="AB530" s="4">
        <f t="shared" si="431"/>
        <v>1.6315536444071543</v>
      </c>
      <c r="AC530" s="47" t="str">
        <f t="shared" si="432"/>
        <v>-0.45505519913167+0.0169456078458154i</v>
      </c>
      <c r="AD530" s="20">
        <f t="shared" si="433"/>
        <v>-6.832700146616558</v>
      </c>
      <c r="AE530" s="43">
        <f t="shared" si="434"/>
        <v>177.86737214696674</v>
      </c>
      <c r="AF530" t="str">
        <f t="shared" si="416"/>
        <v>72.2956529813786</v>
      </c>
      <c r="AG530" t="str">
        <f t="shared" si="417"/>
        <v>1+1635.03486059357i</v>
      </c>
      <c r="AH530">
        <f t="shared" si="435"/>
        <v>1635.0351663974191</v>
      </c>
      <c r="AI530">
        <f t="shared" si="436"/>
        <v>1.5701847191164224</v>
      </c>
      <c r="AJ530" t="str">
        <f t="shared" si="418"/>
        <v>1+31.1435211541633i</v>
      </c>
      <c r="AK530">
        <f t="shared" si="437"/>
        <v>31.159571721700811</v>
      </c>
      <c r="AL530">
        <f t="shared" si="438"/>
        <v>1.5386979479330072</v>
      </c>
      <c r="AM530" t="str">
        <f t="shared" si="419"/>
        <v>1-4.00991817727171i</v>
      </c>
      <c r="AN530">
        <f t="shared" si="439"/>
        <v>4.1327283709934379</v>
      </c>
      <c r="AO530">
        <f t="shared" si="440"/>
        <v>-1.3263997274389132</v>
      </c>
      <c r="AP530" s="41" t="str">
        <f t="shared" si="441"/>
        <v>1.20315900977868-5.56537887352612i</v>
      </c>
      <c r="AQ530">
        <f t="shared" si="442"/>
        <v>15.108268563915942</v>
      </c>
      <c r="AR530" s="43">
        <f t="shared" si="443"/>
        <v>-77.801165428856294</v>
      </c>
      <c r="AS530" t="str">
        <f t="shared" si="420"/>
        <v>-0.0000166666666666667</v>
      </c>
      <c r="AT530" t="str">
        <f t="shared" si="421"/>
        <v>0.0281616946606796i</v>
      </c>
      <c r="AU530">
        <f t="shared" si="444"/>
        <v>2.8161694660679599E-2</v>
      </c>
      <c r="AV530">
        <f t="shared" si="445"/>
        <v>1.5707963267948966</v>
      </c>
      <c r="AW530" t="str">
        <f t="shared" si="422"/>
        <v>1+28.1373333331185i</v>
      </c>
      <c r="AX530">
        <f t="shared" si="446"/>
        <v>28.155097710699238</v>
      </c>
      <c r="AY530">
        <f t="shared" si="447"/>
        <v>1.535271308232542</v>
      </c>
      <c r="AZ530" t="str">
        <f t="shared" si="423"/>
        <v>1+956.669333326028i</v>
      </c>
      <c r="BA530">
        <f t="shared" si="448"/>
        <v>956.66985597251198</v>
      </c>
      <c r="BB530">
        <f t="shared" si="449"/>
        <v>1.5697510339220595</v>
      </c>
      <c r="BC530" s="41" t="str">
        <f t="shared" si="450"/>
        <v>-0.000693222678254308+0.0200972580171409i</v>
      </c>
      <c r="BD530">
        <f t="shared" si="451"/>
        <v>-33.932099696180124</v>
      </c>
      <c r="BE530" s="43">
        <f t="shared" si="452"/>
        <v>91.975542760778154</v>
      </c>
      <c r="BF530" s="41" t="str">
        <f t="shared" si="453"/>
        <v>-0.0000251056692390355-0.00915710882864613i</v>
      </c>
      <c r="BG530" s="20">
        <f t="shared" si="454"/>
        <v>-40.764799842796684</v>
      </c>
      <c r="BH530" s="43">
        <f t="shared" si="455"/>
        <v>-90.157085092255102</v>
      </c>
      <c r="BI530" s="41" t="str">
        <f t="shared" si="460"/>
        <v>0.111014798073275+0.0280382439033756i</v>
      </c>
      <c r="BJ530" s="20">
        <f t="shared" si="456"/>
        <v>-18.823831132264171</v>
      </c>
      <c r="BK530" s="43">
        <f t="shared" si="461"/>
        <v>14.174377331921841</v>
      </c>
      <c r="BL530">
        <f t="shared" si="457"/>
        <v>-40.764799842796684</v>
      </c>
      <c r="BM530" s="43">
        <f t="shared" si="458"/>
        <v>-90.157085092255102</v>
      </c>
    </row>
    <row r="531" spans="14:65" x14ac:dyDescent="0.25">
      <c r="N531" s="9">
        <v>13</v>
      </c>
      <c r="O531" s="34">
        <f t="shared" si="462"/>
        <v>1348962.8825916562</v>
      </c>
      <c r="P531" s="33" t="str">
        <f t="shared" ref="P531:P560" si="463">COMPLEX(Adc,0)</f>
        <v>19.6196196196196</v>
      </c>
      <c r="Q531" s="4" t="str">
        <f t="shared" ref="Q531:Q560" si="464">IMSUM(COMPLEX(1,0),IMDIV(COMPLEX(0,2*PI()*O531),COMPLEX(wp_lf,0)))</f>
        <v>1+2051.6232741248i</v>
      </c>
      <c r="R531" s="4">
        <f t="shared" si="424"/>
        <v>2051.6235178342454</v>
      </c>
      <c r="S531" s="4">
        <f t="shared" si="425"/>
        <v>1.5703089079137502</v>
      </c>
      <c r="T531" s="4" t="str">
        <f t="shared" ref="T531:T560" si="465">IMSUM(COMPLEX(1,0),IMDIV(COMPLEX(0,2*PI()*O531),COMPLEX(wz_esr,0)))</f>
        <v>1+31.8689469520027i</v>
      </c>
      <c r="U531" s="4">
        <f t="shared" si="426"/>
        <v>31.884632345842761</v>
      </c>
      <c r="V531" s="4">
        <f t="shared" si="427"/>
        <v>1.539428111469884</v>
      </c>
      <c r="W531" t="str">
        <f t="shared" ref="W531:W560" si="466">IMSUB(COMPLEX(1,0),IMDIV(COMPLEX(0,2*PI()*O531),COMPLEX(wz_rhp,0)))</f>
        <v>1-18.5407769833792i</v>
      </c>
      <c r="X531" s="4">
        <f t="shared" si="428"/>
        <v>18.567724985775826</v>
      </c>
      <c r="Y531" s="4">
        <f t="shared" si="429"/>
        <v>-1.5169133626534861</v>
      </c>
      <c r="Z531" t="str">
        <f t="shared" ref="Z531:Z560" si="467">IMSUM(COMPLEX(1,0),IMDIV(COMPLEX(0,2*PI()*O531),COMPLEX(Q*(wsl/2),0)),IMDIV(IMPOWER(COMPLEX(0,2*PI()*O531),2),IMPOWER(COMPLEX(wsl/2,0),2)))</f>
        <v>-0.81970085860999+12.4109690827518i</v>
      </c>
      <c r="AA531" s="4">
        <f t="shared" si="430"/>
        <v>12.43800880650223</v>
      </c>
      <c r="AB531" s="4">
        <f t="shared" si="431"/>
        <v>1.6367470257473768</v>
      </c>
      <c r="AC531" s="47" t="str">
        <f t="shared" si="432"/>
        <v>-0.454759201375966+0.0195432575951985i</v>
      </c>
      <c r="AD531" s="20">
        <f t="shared" si="433"/>
        <v>-6.8363567402133771</v>
      </c>
      <c r="AE531" s="43">
        <f t="shared" si="434"/>
        <v>177.53923042280644</v>
      </c>
      <c r="AF531" t="str">
        <f t="shared" ref="AF531:AF560" si="468">COMPLEX($B$72,0)</f>
        <v>72.2956529813786</v>
      </c>
      <c r="AG531" t="str">
        <f t="shared" ref="AG531:AG560" si="469">IMSUM(COMPLEX(1,0),IMDIV(COMPLEX(0,2*PI()*O531),COMPLEX(wp_lf_DCM,0)))</f>
        <v>1+1673.11971498014i</v>
      </c>
      <c r="AH531">
        <f t="shared" si="435"/>
        <v>1673.1200138230447</v>
      </c>
      <c r="AI531">
        <f t="shared" si="436"/>
        <v>1.5701986410035151</v>
      </c>
      <c r="AJ531" t="str">
        <f t="shared" ref="AJ531:AJ560" si="470">IMSUM(COMPLEX(1,0),IMDIV(COMPLEX(0,2*PI()*O531),COMPLEX(wz1_dcm,0)))</f>
        <v>1+31.8689469520027i</v>
      </c>
      <c r="AK531">
        <f t="shared" si="437"/>
        <v>31.884632345842761</v>
      </c>
      <c r="AL531">
        <f t="shared" si="438"/>
        <v>1.539428111469884</v>
      </c>
      <c r="AM531" t="str">
        <f t="shared" ref="AM531:AM560" si="471">IMSUB(COMPLEX(1,0),IMDIV(COMPLEX(0,2*PI()*O531),COMPLEX(wz2_dcm,0)))</f>
        <v>1-4.10332117042135i</v>
      </c>
      <c r="AN531">
        <f t="shared" si="439"/>
        <v>4.223416227135095</v>
      </c>
      <c r="AO531">
        <f t="shared" si="440"/>
        <v>-1.331751062209763</v>
      </c>
      <c r="AP531" s="41" t="str">
        <f t="shared" si="441"/>
        <v>1.20315781289038-5.69301066325623i</v>
      </c>
      <c r="AQ531">
        <f t="shared" si="442"/>
        <v>15.296607764762744</v>
      </c>
      <c r="AR531" s="43">
        <f t="shared" si="443"/>
        <v>-78.066736702343476</v>
      </c>
      <c r="AS531" t="str">
        <f t="shared" ref="AS531:AS560" si="472">COMPLEX(Adc_ea,0)</f>
        <v>-0.0000166666666666667</v>
      </c>
      <c r="AT531" t="str">
        <f t="shared" ref="AT531:AT560" si="473">COMPLEX(0,2*PI()*O531*wp0_ea)</f>
        <v>0.0288176647970238i</v>
      </c>
      <c r="AU531">
        <f t="shared" si="444"/>
        <v>2.8817664797023801E-2</v>
      </c>
      <c r="AV531">
        <f t="shared" si="445"/>
        <v>1.5707963267948966</v>
      </c>
      <c r="AW531" t="str">
        <f t="shared" ref="AW531:AW560" si="474">IMSUM(COMPLEX(1,0),IMDIV(COMPLEX(0,2*PI()*O531),COMPLEX(wp1_ea,0)))</f>
        <v>1+28.7927360212478i</v>
      </c>
      <c r="AX531">
        <f t="shared" si="446"/>
        <v>28.810096278722511</v>
      </c>
      <c r="AY531">
        <f t="shared" si="447"/>
        <v>1.5360792992209169</v>
      </c>
      <c r="AZ531" t="str">
        <f t="shared" ref="AZ531:AZ560" si="475">IMSUM(COMPLEX(1,0),IMDIV(COMPLEX(0,2*PI()*O531),COMPLEX(wz_ea,0)))</f>
        <v>1+978.953024722424i</v>
      </c>
      <c r="BA531">
        <f t="shared" si="448"/>
        <v>978.95353547202774</v>
      </c>
      <c r="BB531">
        <f t="shared" si="449"/>
        <v>1.5697748276760157</v>
      </c>
      <c r="BC531" s="41" t="str">
        <f t="shared" si="450"/>
        <v>-0.000662060107768685+0.019640870880181i</v>
      </c>
      <c r="BD531">
        <f t="shared" si="451"/>
        <v>-34.131853324770084</v>
      </c>
      <c r="BE531" s="43">
        <f t="shared" si="452"/>
        <v>91.930611568940137</v>
      </c>
      <c r="BF531" s="41" t="str">
        <f t="shared" si="453"/>
        <v>-0.0000827686731336371-0.00894480556702921i</v>
      </c>
      <c r="BG531" s="20">
        <f t="shared" si="454"/>
        <v>-40.96821006498346</v>
      </c>
      <c r="BH531" s="43">
        <f t="shared" si="455"/>
        <v>-90.530158008253423</v>
      </c>
      <c r="BI531" s="41" t="str">
        <f t="shared" si="460"/>
        <v>0.111019124565244+0.0274001825047046i</v>
      </c>
      <c r="BJ531" s="20">
        <f t="shared" si="456"/>
        <v>-18.835245560007362</v>
      </c>
      <c r="BK531" s="43">
        <f t="shared" si="461"/>
        <v>13.863874866596682</v>
      </c>
      <c r="BL531">
        <f t="shared" si="457"/>
        <v>-40.96821006498346</v>
      </c>
      <c r="BM531" s="43">
        <f t="shared" si="458"/>
        <v>-90.530158008253423</v>
      </c>
    </row>
    <row r="532" spans="14:65" x14ac:dyDescent="0.25">
      <c r="N532" s="9">
        <v>14</v>
      </c>
      <c r="O532" s="34">
        <f t="shared" si="462"/>
        <v>1380384.2646028849</v>
      </c>
      <c r="P532" s="33" t="str">
        <f t="shared" si="463"/>
        <v>19.6196196196196</v>
      </c>
      <c r="Q532" s="4" t="str">
        <f t="shared" si="464"/>
        <v>1+2099.411719212i</v>
      </c>
      <c r="R532" s="4">
        <f t="shared" ref="R532:R560" si="476">IMABS(Q532)</f>
        <v>2099.4119573739422</v>
      </c>
      <c r="S532" s="4">
        <f t="shared" ref="S532:S560" si="477">IMARGUMENT(Q532)</f>
        <v>1.5703200029203461</v>
      </c>
      <c r="T532" s="4" t="str">
        <f t="shared" si="465"/>
        <v>1+32.6112700873514i</v>
      </c>
      <c r="U532" s="4">
        <f t="shared" ref="U532:U560" si="478">IMABS(T532)</f>
        <v>32.626598607733847</v>
      </c>
      <c r="V532" s="4">
        <f t="shared" ref="V532:V560" si="479">IMARGUMENT(T532)</f>
        <v>1.5401416867871365</v>
      </c>
      <c r="W532" t="str">
        <f t="shared" si="466"/>
        <v>1-18.9726471585323i</v>
      </c>
      <c r="X532" s="4">
        <f t="shared" ref="X532:X560" si="480">IMABS(W532)</f>
        <v>18.998982609660018</v>
      </c>
      <c r="Y532" s="4">
        <f t="shared" ref="Y532:Y560" si="481">IMARGUMENT(W532)</f>
        <v>-1.5181375962146715</v>
      </c>
      <c r="Z532" t="str">
        <f t="shared" si="467"/>
        <v>-0.90546071796324+12.700057689793i</v>
      </c>
      <c r="AA532" s="4">
        <f t="shared" ref="AA532:AA560" si="482">IMABS(Z532)</f>
        <v>12.732294547168033</v>
      </c>
      <c r="AB532" s="4">
        <f t="shared" ref="AB532:AB560" si="483">IMARGUMENT(Z532)</f>
        <v>1.6419716885578084</v>
      </c>
      <c r="AC532" s="47" t="str">
        <f t="shared" ref="AC532:AC560" si="484">(IMDIV(IMPRODUCT(P532,T532,W532),IMPRODUCT(Q532,Z532)))</f>
        <v>-0.454436579485245+0.0221462724623762i</v>
      </c>
      <c r="AD532" s="20">
        <f t="shared" ref="AD532:AD560" si="485">20*LOG(IMABS(AC532))</f>
        <v>-6.840232300571671</v>
      </c>
      <c r="AE532" s="43">
        <f t="shared" ref="AE532:AE560" si="486">(180/PI())*IMARGUMENT(AC532)</f>
        <v>177.20998503518726</v>
      </c>
      <c r="AF532" t="str">
        <f t="shared" si="468"/>
        <v>72.2956529813786</v>
      </c>
      <c r="AG532" t="str">
        <f t="shared" si="469"/>
        <v>1+1712.09167958595i</v>
      </c>
      <c r="AH532">
        <f t="shared" ref="AH532:AH560" si="487">IMABS(AG532)</f>
        <v>1712.0919716263606</v>
      </c>
      <c r="AI532">
        <f t="shared" ref="AI532:AI560" si="488">IMARGUMENT(AG532)</f>
        <v>1.5702122459899919</v>
      </c>
      <c r="AJ532" t="str">
        <f t="shared" si="470"/>
        <v>1+32.6112700873514i</v>
      </c>
      <c r="AK532">
        <f t="shared" ref="AK532:AK560" si="489">IMABS(AJ532)</f>
        <v>32.626598607733847</v>
      </c>
      <c r="AL532">
        <f t="shared" ref="AL532:AL560" si="490">IMARGUMENT(AJ532)</f>
        <v>1.5401416867871365</v>
      </c>
      <c r="AM532" t="str">
        <f t="shared" si="471"/>
        <v>1-4.19889979876942i</v>
      </c>
      <c r="AN532">
        <f t="shared" ref="AN532:AN560" si="491">IMABS(AM532)</f>
        <v>4.3163363539124102</v>
      </c>
      <c r="AO532">
        <f t="shared" ref="AO532:AO560" si="492">IMARGUMENT(AM532)</f>
        <v>-1.3369941076193335</v>
      </c>
      <c r="AP532" s="41" t="str">
        <f t="shared" ref="AP532:AP560" si="493">(IMDIV(IMPRODUCT(AF532,AJ532,AM532),IMPRODUCT(AG532)))</f>
        <v>1.20315666987088-5.82366096253148i</v>
      </c>
      <c r="AQ532">
        <f t="shared" ref="AQ532:AQ560" si="494">20*LOG(IMABS(AP532))</f>
        <v>15.485443479794219</v>
      </c>
      <c r="AR532" s="43">
        <f t="shared" ref="AR532:AR560" si="495">(180/PI())*IMARGUMENT(AP532)</f>
        <v>-78.327035730369545</v>
      </c>
      <c r="AS532" t="str">
        <f t="shared" si="472"/>
        <v>-0.0000166666666666667</v>
      </c>
      <c r="AT532" t="str">
        <f t="shared" si="473"/>
        <v>0.0294889144406901i</v>
      </c>
      <c r="AU532">
        <f t="shared" ref="AU532:AU560" si="496">IMABS(AT532)</f>
        <v>2.94889144406901E-2</v>
      </c>
      <c r="AV532">
        <f t="shared" ref="AV532:AV560" si="497">IMARGUMENT(AT532)</f>
        <v>1.5707963267948966</v>
      </c>
      <c r="AW532" t="str">
        <f t="shared" si="474"/>
        <v>1+29.4634049991325i</v>
      </c>
      <c r="AX532">
        <f t="shared" ref="AX532:AX560" si="498">IMABS(AW532)</f>
        <v>29.480370318958105</v>
      </c>
      <c r="AY532">
        <f t="shared" ref="AY532:AY560" si="499">IMARGUMENT(AW532)</f>
        <v>1.5368689419106862</v>
      </c>
      <c r="AZ532" t="str">
        <f t="shared" si="475"/>
        <v>1+1001.7557699705i</v>
      </c>
      <c r="BA532">
        <f t="shared" ref="BA532:BA560" si="500">IMABS(AZ532)</f>
        <v>1001.7562690940292</v>
      </c>
      <c r="BB532">
        <f t="shared" ref="BB532:BB560" si="501">IMARGUMENT(AZ532)</f>
        <v>1.5697980798191256</v>
      </c>
      <c r="BC532" s="41" t="str">
        <f t="shared" ref="BC532:BC560" si="502">IMPRODUCT(AS532,IMDIV(AZ532,IMPRODUCT(AT532,AW532)))</f>
        <v>-0.000632296780324156+0.0191948002555904i</v>
      </c>
      <c r="BD532">
        <f t="shared" ref="BD532:BD560" si="503">20*LOG(IMABS(BC532))</f>
        <v>-34.331618028829645</v>
      </c>
      <c r="BE532" s="43">
        <f t="shared" ref="BE532:BE560" si="504">(180/PI())*IMARGUMENT(BC532)</f>
        <v>91.886700625157815</v>
      </c>
      <c r="BF532" s="41" t="str">
        <f t="shared" ref="BF532:BF560" si="505">IMPRODUCT(AC532,BC532)</f>
        <v>-0.000137754490251151-0.00873682238882715i</v>
      </c>
      <c r="BG532" s="20">
        <f t="shared" ref="BG532:BG560" si="506">20*LOG(IMABS(BF532))</f>
        <v>-41.171850329401316</v>
      </c>
      <c r="BH532" s="43">
        <f t="shared" ref="BH532:BH560" si="507">(180/PI())*IMARGUMENT(BF532)</f>
        <v>-90.903314339654926</v>
      </c>
      <c r="BI532" s="41" t="str">
        <f t="shared" si="460"/>
        <v>0.111023256843486+0.026776634030661i</v>
      </c>
      <c r="BJ532" s="20">
        <f t="shared" ref="BJ532:BJ560" si="508">20*LOG(IMABS(BI532))</f>
        <v>-18.846174549035439</v>
      </c>
      <c r="BK532" s="43">
        <f t="shared" si="461"/>
        <v>13.559664894788302</v>
      </c>
      <c r="BL532">
        <f t="shared" ref="BL532:BL560" si="509">IF($B$31=0,BJ532,BG532)</f>
        <v>-41.171850329401316</v>
      </c>
      <c r="BM532" s="43">
        <f t="shared" ref="BM532:BM560" si="510">IF($B$31=0,BK532,BH532)</f>
        <v>-90.903314339654926</v>
      </c>
    </row>
    <row r="533" spans="14:65" x14ac:dyDescent="0.25">
      <c r="N533" s="9">
        <v>15</v>
      </c>
      <c r="O533" s="34">
        <f t="shared" si="462"/>
        <v>1412537.5446227565</v>
      </c>
      <c r="P533" s="33" t="str">
        <f t="shared" si="463"/>
        <v>19.6196196196196</v>
      </c>
      <c r="Q533" s="4" t="str">
        <f t="shared" si="464"/>
        <v>1+2148.31330018174i</v>
      </c>
      <c r="R533" s="4">
        <f t="shared" si="476"/>
        <v>2148.3135329224547</v>
      </c>
      <c r="S533" s="4">
        <f t="shared" si="477"/>
        <v>1.5703308453738716</v>
      </c>
      <c r="T533" s="4" t="str">
        <f t="shared" si="465"/>
        <v>1+33.3708841497617i</v>
      </c>
      <c r="U533" s="4">
        <f t="shared" si="478"/>
        <v>33.385863908798541</v>
      </c>
      <c r="V533" s="4">
        <f t="shared" si="479"/>
        <v>1.5408390493234188</v>
      </c>
      <c r="W533" t="str">
        <f t="shared" si="466"/>
        <v>1-19.4145768823414i</v>
      </c>
      <c r="X533" s="4">
        <f t="shared" si="480"/>
        <v>19.44031366826022</v>
      </c>
      <c r="Y533" s="4">
        <f t="shared" si="481"/>
        <v>-1.5193341155009705</v>
      </c>
      <c r="Z533" t="str">
        <f t="shared" si="467"/>
        <v>-0.99526231496888+12.9958800355265i</v>
      </c>
      <c r="AA533" s="4">
        <f t="shared" si="482"/>
        <v>13.033934362785226</v>
      </c>
      <c r="AB533" s="4">
        <f t="shared" si="483"/>
        <v>1.6472300436330829</v>
      </c>
      <c r="AC533" s="47" t="str">
        <f t="shared" si="484"/>
        <v>-0.454086765080912+0.024755546334988i</v>
      </c>
      <c r="AD533" s="20">
        <f t="shared" si="485"/>
        <v>-6.8443344801776727</v>
      </c>
      <c r="AE533" s="43">
        <f t="shared" si="486"/>
        <v>176.8794826802748</v>
      </c>
      <c r="AF533" t="str">
        <f t="shared" si="468"/>
        <v>72.2956529813786</v>
      </c>
      <c r="AG533" t="str">
        <f t="shared" si="469"/>
        <v>1+1751.97141786249i</v>
      </c>
      <c r="AH533">
        <f t="shared" si="487"/>
        <v>1751.9717032552505</v>
      </c>
      <c r="AI533">
        <f t="shared" si="488"/>
        <v>1.5702255412893766</v>
      </c>
      <c r="AJ533" t="str">
        <f t="shared" si="470"/>
        <v>1+33.3708841497617i</v>
      </c>
      <c r="AK533">
        <f t="shared" si="489"/>
        <v>33.385863908798541</v>
      </c>
      <c r="AL533">
        <f t="shared" si="490"/>
        <v>1.5408390493234188</v>
      </c>
      <c r="AM533" t="str">
        <f t="shared" si="471"/>
        <v>1-4.29670473936982i</v>
      </c>
      <c r="AN533">
        <f t="shared" si="491"/>
        <v>4.4115384637701016</v>
      </c>
      <c r="AO533">
        <f t="shared" si="492"/>
        <v>-1.3421304900652584</v>
      </c>
      <c r="AP533" s="41" t="str">
        <f t="shared" si="493"/>
        <v>1.20315557829571-5.95739904387425i</v>
      </c>
      <c r="AQ533">
        <f t="shared" si="494"/>
        <v>15.674755722186411</v>
      </c>
      <c r="AR533" s="43">
        <f t="shared" si="495"/>
        <v>-78.582134600908688</v>
      </c>
      <c r="AS533" t="str">
        <f t="shared" si="472"/>
        <v>-0.0000166666666666667</v>
      </c>
      <c r="AT533" t="str">
        <f t="shared" si="473"/>
        <v>0.030175799497125i</v>
      </c>
      <c r="AU533">
        <f t="shared" si="496"/>
        <v>3.0175799497125001E-2</v>
      </c>
      <c r="AV533">
        <f t="shared" si="497"/>
        <v>1.5707963267948966</v>
      </c>
      <c r="AW533" t="str">
        <f t="shared" si="474"/>
        <v>1+30.149695864342i</v>
      </c>
      <c r="AX533">
        <f t="shared" si="498"/>
        <v>30.166275221053077</v>
      </c>
      <c r="AY533">
        <f t="shared" si="499"/>
        <v>1.5376406510396428</v>
      </c>
      <c r="AZ533" t="str">
        <f t="shared" si="475"/>
        <v>1+1025.08965938763i</v>
      </c>
      <c r="BA533">
        <f t="shared" si="500"/>
        <v>1025.0901471497261</v>
      </c>
      <c r="BB533">
        <f t="shared" si="501"/>
        <v>1.5698208026798826</v>
      </c>
      <c r="BC533" s="41" t="str">
        <f t="shared" si="502"/>
        <v>-0.000603870009806483+0.0187588161128794i</v>
      </c>
      <c r="BD533">
        <f t="shared" si="503"/>
        <v>-34.531393311029397</v>
      </c>
      <c r="BE533" s="43">
        <f t="shared" si="504"/>
        <v>91.843786873076724</v>
      </c>
      <c r="BF533" s="41" t="str">
        <f t="shared" si="505"/>
        <v>-0.000190175362189501-0.00853307925745317i</v>
      </c>
      <c r="BG533" s="20">
        <f t="shared" si="506"/>
        <v>-41.375727791207069</v>
      </c>
      <c r="BH533" s="43">
        <f t="shared" si="507"/>
        <v>-91.276730446648472</v>
      </c>
      <c r="BI533" s="41" t="str">
        <f t="shared" si="460"/>
        <v>0.111027203604216+0.0261672688674798i</v>
      </c>
      <c r="BJ533" s="20">
        <f t="shared" si="508"/>
        <v>-18.856637588843018</v>
      </c>
      <c r="BK533" s="43">
        <f t="shared" si="461"/>
        <v>13.261652272168106</v>
      </c>
      <c r="BL533">
        <f t="shared" si="509"/>
        <v>-41.375727791207069</v>
      </c>
      <c r="BM533" s="43">
        <f t="shared" si="510"/>
        <v>-91.276730446648472</v>
      </c>
    </row>
    <row r="534" spans="14:65" x14ac:dyDescent="0.25">
      <c r="N534" s="9">
        <v>16</v>
      </c>
      <c r="O534" s="34">
        <f t="shared" si="462"/>
        <v>1445439.7707459298</v>
      </c>
      <c r="P534" s="33" t="str">
        <f t="shared" si="463"/>
        <v>19.6196196196196</v>
      </c>
      <c r="Q534" s="4" t="str">
        <f t="shared" si="464"/>
        <v>1+2198.35394529951i</v>
      </c>
      <c r="R534" s="4">
        <f t="shared" si="476"/>
        <v>2198.3541727423994</v>
      </c>
      <c r="S534" s="4">
        <f t="shared" si="477"/>
        <v>1.5703414410231289</v>
      </c>
      <c r="T534" s="4" t="str">
        <f t="shared" si="465"/>
        <v>1+34.1481918966641i</v>
      </c>
      <c r="U534" s="4">
        <f t="shared" si="478"/>
        <v>34.162830822567912</v>
      </c>
      <c r="V534" s="4">
        <f t="shared" si="479"/>
        <v>1.5415205661149263</v>
      </c>
      <c r="W534" t="str">
        <f t="shared" si="466"/>
        <v>1-19.866800471796i</v>
      </c>
      <c r="X534" s="4">
        <f t="shared" si="480"/>
        <v>19.891952166294637</v>
      </c>
      <c r="Y534" s="4">
        <f t="shared" si="481"/>
        <v>-1.5205035412109176</v>
      </c>
      <c r="Z534" t="str">
        <f t="shared" si="467"/>
        <v>-1.08929613085404+13.2985929688756i</v>
      </c>
      <c r="AA534" s="4">
        <f t="shared" si="482"/>
        <v>13.343130854957584</v>
      </c>
      <c r="AB534" s="4">
        <f t="shared" si="483"/>
        <v>1.6525245018614991</v>
      </c>
      <c r="AC534" s="47" t="str">
        <f t="shared" si="484"/>
        <v>-0.45370914483546+0.0273719537311248i</v>
      </c>
      <c r="AD534" s="20">
        <f t="shared" si="485"/>
        <v>-6.8486713516250504</v>
      </c>
      <c r="AE534" s="43">
        <f t="shared" si="486"/>
        <v>176.54757036118124</v>
      </c>
      <c r="AF534" t="str">
        <f t="shared" si="468"/>
        <v>72.2956529813786</v>
      </c>
      <c r="AG534" t="str">
        <f t="shared" si="469"/>
        <v>1+1792.78007457487i</v>
      </c>
      <c r="AH534">
        <f t="shared" si="487"/>
        <v>1792.7803534712993</v>
      </c>
      <c r="AI534">
        <f t="shared" si="488"/>
        <v>1.5702385339509941</v>
      </c>
      <c r="AJ534" t="str">
        <f t="shared" si="470"/>
        <v>1+34.1481918966641i</v>
      </c>
      <c r="AK534">
        <f t="shared" si="489"/>
        <v>34.162830822567912</v>
      </c>
      <c r="AL534">
        <f t="shared" si="490"/>
        <v>1.5415205661149263</v>
      </c>
      <c r="AM534" t="str">
        <f t="shared" si="471"/>
        <v>1-4.39678784969665i</v>
      </c>
      <c r="AN534">
        <f t="shared" si="491"/>
        <v>4.50907345196772</v>
      </c>
      <c r="AO534">
        <f t="shared" si="492"/>
        <v>-1.347161848364026</v>
      </c>
      <c r="AP534" s="41" t="str">
        <f t="shared" si="493"/>
        <v>1.20315453584948-6.0942958169895i</v>
      </c>
      <c r="AQ534">
        <f t="shared" si="494"/>
        <v>15.864525213048211</v>
      </c>
      <c r="AR534" s="43">
        <f t="shared" si="495"/>
        <v>-78.832106585500867</v>
      </c>
      <c r="AS534" t="str">
        <f t="shared" si="472"/>
        <v>-0.0000166666666666667</v>
      </c>
      <c r="AT534" t="str">
        <f t="shared" si="473"/>
        <v>0.0308786841618771i</v>
      </c>
      <c r="AU534">
        <f t="shared" si="496"/>
        <v>3.0878684161877099E-2</v>
      </c>
      <c r="AV534">
        <f t="shared" si="497"/>
        <v>1.5707963267948966</v>
      </c>
      <c r="AW534" t="str">
        <f t="shared" si="474"/>
        <v>1+30.8519724973773i</v>
      </c>
      <c r="AX534">
        <f t="shared" si="498"/>
        <v>30.868174662245991</v>
      </c>
      <c r="AY534">
        <f t="shared" si="499"/>
        <v>1.5383948320994425</v>
      </c>
      <c r="AZ534" t="str">
        <f t="shared" si="475"/>
        <v>1+1048.96706491083i</v>
      </c>
      <c r="BA534">
        <f t="shared" si="500"/>
        <v>1048.9675415701106</v>
      </c>
      <c r="BB534">
        <f t="shared" si="501"/>
        <v>1.5698430083061543</v>
      </c>
      <c r="BC534" s="41" t="str">
        <f t="shared" si="502"/>
        <v>-0.000576719905970363+0.0183326933385005i</v>
      </c>
      <c r="BD534">
        <f t="shared" si="503"/>
        <v>-34.731178696322509</v>
      </c>
      <c r="BE534" s="43">
        <f t="shared" si="504"/>
        <v>91.801847770028303</v>
      </c>
      <c r="BF534" s="41" t="str">
        <f t="shared" si="505"/>
        <v>-0.000240138538480935-0.00833349656772383i</v>
      </c>
      <c r="BG534" s="20">
        <f t="shared" si="506"/>
        <v>-41.579850047947566</v>
      </c>
      <c r="BH534" s="43">
        <f t="shared" si="507"/>
        <v>-91.650581868790439</v>
      </c>
      <c r="BI534" s="41" t="str">
        <f t="shared" si="460"/>
        <v>0.111030973156192+0.0255717648550842i</v>
      </c>
      <c r="BJ534" s="20">
        <f t="shared" si="508"/>
        <v>-18.866653483274291</v>
      </c>
      <c r="BK534" s="43">
        <f t="shared" si="461"/>
        <v>12.969741184527448</v>
      </c>
      <c r="BL534">
        <f t="shared" si="509"/>
        <v>-41.579850047947566</v>
      </c>
      <c r="BM534" s="43">
        <f t="shared" si="510"/>
        <v>-91.650581868790439</v>
      </c>
    </row>
    <row r="535" spans="14:65" x14ac:dyDescent="0.25">
      <c r="N535" s="9">
        <v>17</v>
      </c>
      <c r="O535" s="34">
        <f t="shared" si="462"/>
        <v>1479108.3881682095</v>
      </c>
      <c r="P535" s="33" t="str">
        <f t="shared" si="463"/>
        <v>19.6196196196196</v>
      </c>
      <c r="Q535" s="4" t="str">
        <f t="shared" si="464"/>
        <v>1+2249.56018677774i</v>
      </c>
      <c r="R535" s="4">
        <f t="shared" si="476"/>
        <v>2249.5604090433981</v>
      </c>
      <c r="S535" s="4">
        <f t="shared" si="477"/>
        <v>1.570351795486062</v>
      </c>
      <c r="T535" s="4" t="str">
        <f t="shared" si="465"/>
        <v>1+34.9436054669147i</v>
      </c>
      <c r="U535" s="4">
        <f t="shared" si="478"/>
        <v>34.957911308134392</v>
      </c>
      <c r="V535" s="4">
        <f t="shared" si="479"/>
        <v>1.5421865959771071</v>
      </c>
      <c r="W535" t="str">
        <f t="shared" si="466"/>
        <v>1-20.3295577018288i</v>
      </c>
      <c r="X535" s="4">
        <f t="shared" si="480"/>
        <v>20.354137573279459</v>
      </c>
      <c r="Y535" s="4">
        <f t="shared" si="481"/>
        <v>-1.521646480588194</v>
      </c>
      <c r="Z535" t="str">
        <f t="shared" si="467"/>
        <v>-1.18776162394955+13.6083569922445i</v>
      </c>
      <c r="AA535" s="4">
        <f t="shared" si="482"/>
        <v>13.660093619873075</v>
      </c>
      <c r="AB535" s="4">
        <f t="shared" si="483"/>
        <v>1.6578574738999521</v>
      </c>
      <c r="AC535" s="47" t="str">
        <f t="shared" si="484"/>
        <v>-0.453303060133136+0.029996348274292i</v>
      </c>
      <c r="AD535" s="20">
        <f t="shared" si="485"/>
        <v>-6.8532514198214205</v>
      </c>
      <c r="AE535" s="43">
        <f t="shared" si="486"/>
        <v>176.21409540166678</v>
      </c>
      <c r="AF535" t="str">
        <f t="shared" si="468"/>
        <v>72.2956529813786</v>
      </c>
      <c r="AG535" t="str">
        <f t="shared" si="469"/>
        <v>1+1834.53928701303i</v>
      </c>
      <c r="AH535">
        <f t="shared" si="487"/>
        <v>1834.5395595610023</v>
      </c>
      <c r="AI535">
        <f t="shared" si="488"/>
        <v>1.5702512308637078</v>
      </c>
      <c r="AJ535" t="str">
        <f t="shared" si="470"/>
        <v>1+34.9436054669147i</v>
      </c>
      <c r="AK535">
        <f t="shared" si="489"/>
        <v>34.957911308134392</v>
      </c>
      <c r="AL535">
        <f t="shared" si="490"/>
        <v>1.5421865959771071</v>
      </c>
      <c r="AM535" t="str">
        <f t="shared" si="471"/>
        <v>1-4.49920219513974i</v>
      </c>
      <c r="AN535">
        <f t="shared" si="491"/>
        <v>4.6089934251146705</v>
      </c>
      <c r="AO535">
        <f t="shared" si="492"/>
        <v>-1.3520898308188687</v>
      </c>
      <c r="AP535" s="41" t="str">
        <f t="shared" si="493"/>
        <v>1.20315354032103-6.23442386636206i</v>
      </c>
      <c r="AQ535">
        <f t="shared" si="494"/>
        <v>16.054733364487149</v>
      </c>
      <c r="AR535" s="43">
        <f t="shared" si="495"/>
        <v>-79.077025961056577</v>
      </c>
      <c r="AS535" t="str">
        <f t="shared" si="472"/>
        <v>-0.0000166666666666667</v>
      </c>
      <c r="AT535" t="str">
        <f t="shared" si="473"/>
        <v>0.0315979411136996i</v>
      </c>
      <c r="AU535">
        <f t="shared" si="496"/>
        <v>3.1597941113699603E-2</v>
      </c>
      <c r="AV535">
        <f t="shared" si="497"/>
        <v>1.5707963267948966</v>
      </c>
      <c r="AW535" t="str">
        <f t="shared" si="474"/>
        <v>1+31.5706072546047i</v>
      </c>
      <c r="AX535">
        <f t="shared" si="498"/>
        <v>31.586440800199359</v>
      </c>
      <c r="AY535">
        <f t="shared" si="499"/>
        <v>1.5391318815331445</v>
      </c>
      <c r="AZ535" t="str">
        <f t="shared" si="475"/>
        <v>1+1073.40064665656i</v>
      </c>
      <c r="BA535">
        <f t="shared" si="500"/>
        <v>1073.4011124657554</v>
      </c>
      <c r="BB535">
        <f t="shared" si="501"/>
        <v>1.5698647084715702</v>
      </c>
      <c r="BC535" s="41" t="str">
        <f t="shared" si="502"/>
        <v>-0.000550789250837654+0.0179162116450864i</v>
      </c>
      <c r="BD535">
        <f t="shared" si="503"/>
        <v>-34.930973730950654</v>
      </c>
      <c r="BE535" s="43">
        <f t="shared" si="504"/>
        <v>91.760861276077762</v>
      </c>
      <c r="BF535" s="41" t="str">
        <f t="shared" si="505"/>
        <v>-0.000287746471368792-0.00813799523090445i</v>
      </c>
      <c r="BG535" s="20">
        <f t="shared" si="506"/>
        <v>-41.78422515077208</v>
      </c>
      <c r="BH535" s="43">
        <f t="shared" si="507"/>
        <v>-92.025043322255442</v>
      </c>
      <c r="BI535" s="41" t="str">
        <f t="shared" si="460"/>
        <v>0.111034573437804+0.0249898071206845i</v>
      </c>
      <c r="BJ535" s="20">
        <f t="shared" si="508"/>
        <v>-18.876240366463534</v>
      </c>
      <c r="BK535" s="43">
        <f t="shared" si="461"/>
        <v>12.683835315021222</v>
      </c>
      <c r="BL535">
        <f t="shared" si="509"/>
        <v>-41.78422515077208</v>
      </c>
      <c r="BM535" s="43">
        <f t="shared" si="510"/>
        <v>-92.025043322255442</v>
      </c>
    </row>
    <row r="536" spans="14:65" x14ac:dyDescent="0.25">
      <c r="N536" s="9">
        <v>18</v>
      </c>
      <c r="O536" s="34">
        <f t="shared" si="462"/>
        <v>1513561.2484362102</v>
      </c>
      <c r="P536" s="33" t="str">
        <f t="shared" si="463"/>
        <v>19.6196196196196</v>
      </c>
      <c r="Q536" s="4" t="str">
        <f t="shared" si="464"/>
        <v>1+2301.95917484344i</v>
      </c>
      <c r="R536" s="4">
        <f t="shared" si="476"/>
        <v>2301.9593920497141</v>
      </c>
      <c r="S536" s="4">
        <f t="shared" si="477"/>
        <v>1.5703619142527354</v>
      </c>
      <c r="T536" s="4" t="str">
        <f t="shared" si="465"/>
        <v>1+35.7575465993173i</v>
      </c>
      <c r="U536" s="4">
        <f t="shared" si="478"/>
        <v>35.771526928583135</v>
      </c>
      <c r="V536" s="4">
        <f t="shared" si="479"/>
        <v>1.5428374896828734</v>
      </c>
      <c r="W536" t="str">
        <f t="shared" si="466"/>
        <v>1-20.8030939324486i</v>
      </c>
      <c r="X536" s="4">
        <f t="shared" si="480"/>
        <v>20.827114950522549</v>
      </c>
      <c r="Y536" s="4">
        <f t="shared" si="481"/>
        <v>-1.5227635276833336</v>
      </c>
      <c r="Z536" t="str">
        <f t="shared" si="467"/>
        <v>-1.29086765276778+13.9253363466186i</v>
      </c>
      <c r="AA536" s="4">
        <f t="shared" si="482"/>
        <v>13.98503956602981</v>
      </c>
      <c r="AB536" s="4">
        <f t="shared" si="483"/>
        <v>1.663231369777457</v>
      </c>
      <c r="AC536" s="47" t="str">
        <f t="shared" si="484"/>
        <v>-0.452867806731692+0.0326295610856691i</v>
      </c>
      <c r="AD536" s="20">
        <f t="shared" si="485"/>
        <v>-6.8580836346168708</v>
      </c>
      <c r="AE536" s="43">
        <f t="shared" si="486"/>
        <v>175.87890546390193</v>
      </c>
      <c r="AF536" t="str">
        <f t="shared" si="468"/>
        <v>72.2956529813786</v>
      </c>
      <c r="AG536" t="str">
        <f t="shared" si="469"/>
        <v>1+1877.27119646416i</v>
      </c>
      <c r="AH536">
        <f t="shared" si="487"/>
        <v>1877.271462808184</v>
      </c>
      <c r="AI536">
        <f t="shared" si="488"/>
        <v>1.5702636387595728</v>
      </c>
      <c r="AJ536" t="str">
        <f t="shared" si="470"/>
        <v>1+35.7575465993173i</v>
      </c>
      <c r="AK536">
        <f t="shared" si="489"/>
        <v>35.771526928583135</v>
      </c>
      <c r="AL536">
        <f t="shared" si="490"/>
        <v>1.5428374896828734</v>
      </c>
      <c r="AM536" t="str">
        <f t="shared" si="471"/>
        <v>1-4.60400207714068i</v>
      </c>
      <c r="AN536">
        <f t="shared" si="491"/>
        <v>4.711351730269743</v>
      </c>
      <c r="AO536">
        <f t="shared" si="492"/>
        <v>-1.3569160924687602</v>
      </c>
      <c r="AP536" s="41" t="str">
        <f t="shared" si="493"/>
        <v>1.20315258959873-6.37785748974207i</v>
      </c>
      <c r="AQ536">
        <f t="shared" si="494"/>
        <v>16.245362262351904</v>
      </c>
      <c r="AR536" s="43">
        <f t="shared" si="495"/>
        <v>-79.316967842234746</v>
      </c>
      <c r="AS536" t="str">
        <f t="shared" si="472"/>
        <v>-0.0000166666666666667</v>
      </c>
      <c r="AT536" t="str">
        <f t="shared" si="473"/>
        <v>0.0323339517121487i</v>
      </c>
      <c r="AU536">
        <f t="shared" si="496"/>
        <v>3.2333951712148701E-2</v>
      </c>
      <c r="AV536">
        <f t="shared" si="497"/>
        <v>1.5707963267948966</v>
      </c>
      <c r="AW536" t="str">
        <f t="shared" si="474"/>
        <v>1+32.3059811656849i</v>
      </c>
      <c r="AX536">
        <f t="shared" si="498"/>
        <v>32.32145447032957</v>
      </c>
      <c r="AY536">
        <f t="shared" si="499"/>
        <v>1.5398521869291137</v>
      </c>
      <c r="AZ536" t="str">
        <f t="shared" si="475"/>
        <v>1+1098.40335963329i</v>
      </c>
      <c r="BA536">
        <f t="shared" si="500"/>
        <v>1098.4038148393779</v>
      </c>
      <c r="BB536">
        <f t="shared" si="501"/>
        <v>1.5698859146817632</v>
      </c>
      <c r="BC536" s="41" t="str">
        <f t="shared" si="502"/>
        <v>-0.000526023380463111+0.0175091554813572i</v>
      </c>
      <c r="BD536">
        <f t="shared" si="503"/>
        <v>-35.1307779814939</v>
      </c>
      <c r="BE536" s="43">
        <f t="shared" si="504"/>
        <v>91.720805843271748</v>
      </c>
      <c r="BF536" s="41" t="str">
        <f t="shared" si="505"/>
        <v>-0.000333097003737503-0.00794649675259173i</v>
      </c>
      <c r="BG536" s="20">
        <f t="shared" si="506"/>
        <v>-41.988861616110775</v>
      </c>
      <c r="BH536" s="43">
        <f t="shared" si="507"/>
        <v>-92.400288692826308</v>
      </c>
      <c r="BI536" s="41" t="str">
        <f t="shared" si="460"/>
        <v>0.111038012033439+0.0244210879159478i</v>
      </c>
      <c r="BJ536" s="20">
        <f t="shared" si="508"/>
        <v>-18.885415719141982</v>
      </c>
      <c r="BK536" s="43">
        <f t="shared" si="461"/>
        <v>12.403838001036975</v>
      </c>
      <c r="BL536">
        <f t="shared" si="509"/>
        <v>-41.988861616110775</v>
      </c>
      <c r="BM536" s="43">
        <f t="shared" si="510"/>
        <v>-92.400288692826308</v>
      </c>
    </row>
    <row r="537" spans="14:65" x14ac:dyDescent="0.25">
      <c r="N537" s="9">
        <v>19</v>
      </c>
      <c r="O537" s="34">
        <f t="shared" si="462"/>
        <v>1548816.6189124861</v>
      </c>
      <c r="P537" s="33" t="str">
        <f t="shared" si="463"/>
        <v>19.6196196196196</v>
      </c>
      <c r="Q537" s="4" t="str">
        <f t="shared" si="464"/>
        <v>1+2355.57869213369i</v>
      </c>
      <c r="R537" s="4">
        <f t="shared" si="476"/>
        <v>2355.5789043957466</v>
      </c>
      <c r="S537" s="4">
        <f t="shared" si="477"/>
        <v>1.5703718026882447</v>
      </c>
      <c r="T537" s="4" t="str">
        <f t="shared" si="465"/>
        <v>1+36.590446856234i</v>
      </c>
      <c r="U537" s="4">
        <f t="shared" si="478"/>
        <v>36.604109074513545</v>
      </c>
      <c r="V537" s="4">
        <f t="shared" si="479"/>
        <v>1.5434735901373464</v>
      </c>
      <c r="W537" t="str">
        <f t="shared" si="466"/>
        <v>1-21.287660238833i</v>
      </c>
      <c r="X537" s="4">
        <f t="shared" si="480"/>
        <v>21.311135081078891</v>
      </c>
      <c r="Y537" s="4">
        <f t="shared" si="481"/>
        <v>-1.5238552636123968</v>
      </c>
      <c r="Z537" t="str">
        <f t="shared" si="467"/>
        <v>-1.3988329190195+14.2496990986474i</v>
      </c>
      <c r="AA537" s="4">
        <f t="shared" si="482"/>
        <v>14.31819324975484</v>
      </c>
      <c r="AB537" s="4">
        <f t="shared" si="483"/>
        <v>1.6686485984216399</v>
      </c>
      <c r="AC537" s="47" t="str">
        <f t="shared" si="484"/>
        <v>-0.452402634430863+0.0352723990884436i</v>
      </c>
      <c r="AD537" s="20">
        <f t="shared" si="485"/>
        <v>-6.8631774038454862</v>
      </c>
      <c r="AE537" s="43">
        <f t="shared" si="486"/>
        <v>175.54184857062177</v>
      </c>
      <c r="AF537" t="str">
        <f t="shared" si="468"/>
        <v>72.2956529813786</v>
      </c>
      <c r="AG537" t="str">
        <f t="shared" si="469"/>
        <v>1+1920.99845995229i</v>
      </c>
      <c r="AH537">
        <f t="shared" si="487"/>
        <v>1920.9987202335849</v>
      </c>
      <c r="AI537">
        <f t="shared" si="488"/>
        <v>1.5702757642174043</v>
      </c>
      <c r="AJ537" t="str">
        <f t="shared" si="470"/>
        <v>1+36.590446856234i</v>
      </c>
      <c r="AK537">
        <f t="shared" si="489"/>
        <v>36.604109074513545</v>
      </c>
      <c r="AL537">
        <f t="shared" si="490"/>
        <v>1.5434735901373464</v>
      </c>
      <c r="AM537" t="str">
        <f t="shared" si="471"/>
        <v>1-4.71124306198411i</v>
      </c>
      <c r="AN537">
        <f t="shared" si="491"/>
        <v>4.8162029846231986</v>
      </c>
      <c r="AO537">
        <f t="shared" si="492"/>
        <v>-1.3616422925124281</v>
      </c>
      <c r="AP537" s="41" t="str">
        <f t="shared" si="493"/>
        <v>1.20315168166594-6.52467273753849i</v>
      </c>
      <c r="AQ537">
        <f t="shared" si="494"/>
        <v>16.436394648734911</v>
      </c>
      <c r="AR537" s="43">
        <f t="shared" si="495"/>
        <v>-79.552008024042237</v>
      </c>
      <c r="AS537" t="str">
        <f t="shared" si="472"/>
        <v>-0.0000166666666666667</v>
      </c>
      <c r="AT537" t="str">
        <f t="shared" si="473"/>
        <v>0.0330871061997861i</v>
      </c>
      <c r="AU537">
        <f t="shared" si="496"/>
        <v>3.3087106199786102E-2</v>
      </c>
      <c r="AV537">
        <f t="shared" si="497"/>
        <v>1.5707963267948966</v>
      </c>
      <c r="AW537" t="str">
        <f t="shared" si="474"/>
        <v>1+33.0584841355995i</v>
      </c>
      <c r="AX537">
        <f t="shared" si="498"/>
        <v>33.073605387736066</v>
      </c>
      <c r="AY537">
        <f t="shared" si="499"/>
        <v>1.5405561272113111</v>
      </c>
      <c r="AZ537" t="str">
        <f t="shared" si="475"/>
        <v>1+1123.98846061038i</v>
      </c>
      <c r="BA537">
        <f t="shared" si="500"/>
        <v>1123.9889054547166</v>
      </c>
      <c r="BB537">
        <f t="shared" si="501"/>
        <v>1.5699066381804705</v>
      </c>
      <c r="BC537" s="41" t="str">
        <f t="shared" si="502"/>
        <v>-0.000502370071843183+0.0171113139427722i</v>
      </c>
      <c r="BD537">
        <f t="shared" si="503"/>
        <v>-35.330591033963067</v>
      </c>
      <c r="BE537" s="43">
        <f t="shared" si="504"/>
        <v>91.681660405085267</v>
      </c>
      <c r="BF537" s="41" t="str">
        <f t="shared" si="505"/>
        <v>-0.000376283550356033-0.00775892330394784i</v>
      </c>
      <c r="BG537" s="20">
        <f t="shared" si="506"/>
        <v>-42.193768437808558</v>
      </c>
      <c r="BH537" s="43">
        <f t="shared" si="507"/>
        <v>-92.776491024292966</v>
      </c>
      <c r="BI537" s="41" t="str">
        <f t="shared" si="460"/>
        <v>0.111041296189111+0.0238653064576707i</v>
      </c>
      <c r="BJ537" s="20">
        <f t="shared" si="508"/>
        <v>-18.894196385228174</v>
      </c>
      <c r="BK537" s="43">
        <f t="shared" si="461"/>
        <v>12.129652381043064</v>
      </c>
      <c r="BL537">
        <f t="shared" si="509"/>
        <v>-42.193768437808558</v>
      </c>
      <c r="BM537" s="43">
        <f t="shared" si="510"/>
        <v>-92.776491024292966</v>
      </c>
    </row>
    <row r="538" spans="14:65" x14ac:dyDescent="0.25">
      <c r="N538" s="9">
        <v>20</v>
      </c>
      <c r="O538" s="34">
        <f t="shared" si="462"/>
        <v>1584893.1924611153</v>
      </c>
      <c r="P538" s="33" t="str">
        <f t="shared" si="463"/>
        <v>19.6196196196196</v>
      </c>
      <c r="Q538" s="4" t="str">
        <f t="shared" si="464"/>
        <v>1+2410.44716842626i</v>
      </c>
      <c r="R538" s="4">
        <f t="shared" si="476"/>
        <v>2410.4473758566423</v>
      </c>
      <c r="S538" s="4">
        <f t="shared" si="477"/>
        <v>1.5703814660355617</v>
      </c>
      <c r="T538" s="4" t="str">
        <f t="shared" si="465"/>
        <v>1+37.4427478524055i</v>
      </c>
      <c r="U538" s="4">
        <f t="shared" si="478"/>
        <v>37.456099192772562</v>
      </c>
      <c r="V538" s="4">
        <f t="shared" si="479"/>
        <v>1.5440952325491768</v>
      </c>
      <c r="W538" t="str">
        <f t="shared" si="466"/>
        <v>1-21.7835135444514i</v>
      </c>
      <c r="X538" s="4">
        <f t="shared" si="480"/>
        <v>21.806454602738555</v>
      </c>
      <c r="Y538" s="4">
        <f t="shared" si="481"/>
        <v>-1.5249222568124949</v>
      </c>
      <c r="Z538" t="str">
        <f t="shared" si="467"/>
        <v>-1.51188643150958+14.5816172297552i</v>
      </c>
      <c r="AA538" s="4">
        <f t="shared" si="482"/>
        <v>14.659787229590902</v>
      </c>
      <c r="AB538" s="4">
        <f t="shared" si="483"/>
        <v>1.6741115671024391</v>
      </c>
      <c r="AC538" s="47" t="str">
        <f t="shared" si="484"/>
        <v>-0.451906746753901+0.0379256432191109i</v>
      </c>
      <c r="AD538" s="20">
        <f t="shared" si="485"/>
        <v>-6.8685426067654447</v>
      </c>
      <c r="AE538" s="43">
        <f t="shared" si="486"/>
        <v>175.20277313201203</v>
      </c>
      <c r="AF538" t="str">
        <f t="shared" si="468"/>
        <v>72.2956529813786</v>
      </c>
      <c r="AG538" t="str">
        <f t="shared" si="469"/>
        <v>1+1965.74426225129i</v>
      </c>
      <c r="AH538">
        <f t="shared" si="487"/>
        <v>1965.7445166078596</v>
      </c>
      <c r="AI538">
        <f t="shared" si="488"/>
        <v>1.5702876136662662</v>
      </c>
      <c r="AJ538" t="str">
        <f t="shared" si="470"/>
        <v>1+37.4427478524055i</v>
      </c>
      <c r="AK538">
        <f t="shared" si="489"/>
        <v>37.456099192772562</v>
      </c>
      <c r="AL538">
        <f t="shared" si="490"/>
        <v>1.5440952325491768</v>
      </c>
      <c r="AM538" t="str">
        <f t="shared" si="471"/>
        <v>1-4.82098201025965i</v>
      </c>
      <c r="AN538">
        <f t="shared" si="491"/>
        <v>4.9236031057800727</v>
      </c>
      <c r="AO538">
        <f t="shared" si="492"/>
        <v>-1.3662700919011055</v>
      </c>
      <c r="AP538" s="41" t="str">
        <f t="shared" si="493"/>
        <v>1.20315081459684-6.67494745314203i</v>
      </c>
      <c r="AQ538">
        <f t="shared" si="494"/>
        <v>16.627813904312799</v>
      </c>
      <c r="AR538" s="43">
        <f t="shared" si="495"/>
        <v>-79.782222834291844</v>
      </c>
      <c r="AS538" t="str">
        <f t="shared" si="472"/>
        <v>-0.0000166666666666667</v>
      </c>
      <c r="AT538" t="str">
        <f t="shared" si="473"/>
        <v>0.0338578039090901i</v>
      </c>
      <c r="AU538">
        <f t="shared" si="496"/>
        <v>3.3857803909090101E-2</v>
      </c>
      <c r="AV538">
        <f t="shared" si="497"/>
        <v>1.5707963267948966</v>
      </c>
      <c r="AW538" t="str">
        <f t="shared" si="474"/>
        <v>1+33.8285151513834i</v>
      </c>
      <c r="AX538">
        <f t="shared" si="498"/>
        <v>33.843292353838393</v>
      </c>
      <c r="AY538">
        <f t="shared" si="499"/>
        <v>1.5412440728259962</v>
      </c>
      <c r="AZ538" t="str">
        <f t="shared" si="475"/>
        <v>1+1150.16951514703i</v>
      </c>
      <c r="BA538">
        <f t="shared" si="500"/>
        <v>1150.1699498654773</v>
      </c>
      <c r="BB538">
        <f t="shared" si="501"/>
        <v>1.5699268899554941</v>
      </c>
      <c r="BC538" s="41" t="str">
        <f t="shared" si="502"/>
        <v>-0.000479779434751986+0.0167224806829972i</v>
      </c>
      <c r="BD538">
        <f t="shared" si="503"/>
        <v>-35.530412492931582</v>
      </c>
      <c r="BE538" s="43">
        <f t="shared" si="504"/>
        <v>91.643404366065781</v>
      </c>
      <c r="BF538" s="41" t="str">
        <f t="shared" si="505"/>
        <v>-0.00041739527260363-0.00757519778677449i</v>
      </c>
      <c r="BG538" s="20">
        <f t="shared" si="506"/>
        <v>-42.398955099697027</v>
      </c>
      <c r="BH538" s="43">
        <f t="shared" si="507"/>
        <v>-93.153822501922193</v>
      </c>
      <c r="BI538" s="41" t="str">
        <f t="shared" si="460"/>
        <v>0.11104443282744+0.0233221687718957i</v>
      </c>
      <c r="BJ538" s="20">
        <f t="shared" si="508"/>
        <v>-18.902598588618808</v>
      </c>
      <c r="BK538" s="43">
        <f t="shared" si="461"/>
        <v>11.861181531773976</v>
      </c>
      <c r="BL538">
        <f t="shared" si="509"/>
        <v>-42.398955099697027</v>
      </c>
      <c r="BM538" s="43">
        <f t="shared" si="510"/>
        <v>-93.153822501922193</v>
      </c>
    </row>
    <row r="539" spans="14:65" x14ac:dyDescent="0.25">
      <c r="N539" s="9">
        <v>21</v>
      </c>
      <c r="O539" s="34">
        <f t="shared" si="462"/>
        <v>1621810.0973589318</v>
      </c>
      <c r="P539" s="33" t="str">
        <f t="shared" si="463"/>
        <v>19.6196196196196</v>
      </c>
      <c r="Q539" s="4" t="str">
        <f t="shared" si="464"/>
        <v>1+2466.59369571357i</v>
      </c>
      <c r="R539" s="4">
        <f t="shared" si="476"/>
        <v>2466.5938984222607</v>
      </c>
      <c r="S539" s="4">
        <f t="shared" si="477"/>
        <v>1.5703909094183137</v>
      </c>
      <c r="T539" s="4" t="str">
        <f t="shared" si="465"/>
        <v>1+38.3149014891017i</v>
      </c>
      <c r="U539" s="4">
        <f t="shared" si="478"/>
        <v>38.327949020519839</v>
      </c>
      <c r="V539" s="4">
        <f t="shared" si="479"/>
        <v>1.5447027445984829</v>
      </c>
      <c r="W539" t="str">
        <f t="shared" si="466"/>
        <v>1-22.2909167572899i</v>
      </c>
      <c r="X539" s="4">
        <f t="shared" si="480"/>
        <v>22.313336144118558</v>
      </c>
      <c r="Y539" s="4">
        <f t="shared" si="481"/>
        <v>-1.5259650632940627</v>
      </c>
      <c r="Z539" t="str">
        <f t="shared" si="467"/>
        <v>-1.63026799189536+14.9212667273287i</v>
      </c>
      <c r="AA539" s="4">
        <f t="shared" si="482"/>
        <v>15.01006244069241</v>
      </c>
      <c r="AB539" s="4">
        <f t="shared" si="483"/>
        <v>1.6796226807870731</v>
      </c>
      <c r="AC539" s="47" t="str">
        <f t="shared" si="484"/>
        <v>-0.451379300648969+0.0405900465407658i</v>
      </c>
      <c r="AD539" s="20">
        <f t="shared" si="485"/>
        <v>-6.8741896078825704</v>
      </c>
      <c r="AE539" s="43">
        <f t="shared" si="486"/>
        <v>174.86152797767554</v>
      </c>
      <c r="AF539" t="str">
        <f t="shared" si="468"/>
        <v>72.2956529813786</v>
      </c>
      <c r="AG539" t="str">
        <f t="shared" si="469"/>
        <v>1+2011.53232817784i</v>
      </c>
      <c r="AH539">
        <f t="shared" si="487"/>
        <v>2011.5325767445484</v>
      </c>
      <c r="AI539">
        <f t="shared" si="488"/>
        <v>1.5702991933888801</v>
      </c>
      <c r="AJ539" t="str">
        <f t="shared" si="470"/>
        <v>1+38.3149014891017i</v>
      </c>
      <c r="AK539">
        <f t="shared" si="489"/>
        <v>38.327949020519839</v>
      </c>
      <c r="AL539">
        <f t="shared" si="490"/>
        <v>1.5447027445984829</v>
      </c>
      <c r="AM539" t="str">
        <f t="shared" si="471"/>
        <v>1-4.93327710701026i</v>
      </c>
      <c r="AN539">
        <f t="shared" si="491"/>
        <v>5.0336093426637225</v>
      </c>
      <c r="AO539">
        <f t="shared" si="492"/>
        <v>-1.3708011510936113</v>
      </c>
      <c r="AP539" s="41" t="str">
        <f t="shared" si="493"/>
        <v>1.20314998655226-6.82876131419888i</v>
      </c>
      <c r="AQ539">
        <f t="shared" si="494"/>
        <v>16.819604030594711</v>
      </c>
      <c r="AR539" s="43">
        <f t="shared" si="495"/>
        <v>-80.007688995551504</v>
      </c>
      <c r="AS539" t="str">
        <f t="shared" si="472"/>
        <v>-0.0000166666666666667</v>
      </c>
      <c r="AT539" t="str">
        <f t="shared" si="473"/>
        <v>0.0346464534741879i</v>
      </c>
      <c r="AU539">
        <f t="shared" si="496"/>
        <v>3.4646453474187898E-2</v>
      </c>
      <c r="AV539">
        <f t="shared" si="497"/>
        <v>1.5707963267948966</v>
      </c>
      <c r="AW539" t="str">
        <f t="shared" si="474"/>
        <v>1+34.6164824936738i</v>
      </c>
      <c r="AX539">
        <f t="shared" si="498"/>
        <v>34.630923467831821</v>
      </c>
      <c r="AY539">
        <f t="shared" si="499"/>
        <v>1.5419163859248819</v>
      </c>
      <c r="AZ539" t="str">
        <f t="shared" si="475"/>
        <v>1+1176.96040478491i</v>
      </c>
      <c r="BA539">
        <f t="shared" si="500"/>
        <v>1176.9608296079607</v>
      </c>
      <c r="BB539">
        <f t="shared" si="501"/>
        <v>1.5699466807445268</v>
      </c>
      <c r="BC539" s="41" t="str">
        <f t="shared" si="502"/>
        <v>-0.000458203808296851+0.0163424538262466i</v>
      </c>
      <c r="BD539">
        <f t="shared" si="503"/>
        <v>-35.730241980706253</v>
      </c>
      <c r="BE539" s="43">
        <f t="shared" si="504"/>
        <v>91.606017591673051</v>
      </c>
      <c r="BF539" s="41" t="str">
        <f t="shared" si="505"/>
        <v>-0.000456517246853939-0.00739524389288318i</v>
      </c>
      <c r="BG539" s="20">
        <f t="shared" si="506"/>
        <v>-42.604431588588831</v>
      </c>
      <c r="BH539" s="43">
        <f t="shared" si="507"/>
        <v>-93.532454430651413</v>
      </c>
      <c r="BI539" s="41" t="str">
        <f t="shared" si="460"/>
        <v>0.111047428561964+0.0227913875413957i</v>
      </c>
      <c r="BJ539" s="20">
        <f t="shared" si="508"/>
        <v>-18.910637950111521</v>
      </c>
      <c r="BK539" s="43">
        <f t="shared" si="461"/>
        <v>11.598328596121542</v>
      </c>
      <c r="BL539">
        <f t="shared" si="509"/>
        <v>-42.604431588588831</v>
      </c>
      <c r="BM539" s="43">
        <f t="shared" si="510"/>
        <v>-93.532454430651413</v>
      </c>
    </row>
    <row r="540" spans="14:65" x14ac:dyDescent="0.25">
      <c r="N540" s="9">
        <v>22</v>
      </c>
      <c r="O540" s="34">
        <f t="shared" si="462"/>
        <v>1659586.9074375622</v>
      </c>
      <c r="P540" s="33" t="str">
        <f t="shared" si="463"/>
        <v>19.6196196196196</v>
      </c>
      <c r="Q540" s="4" t="str">
        <f t="shared" si="464"/>
        <v>1+2524.04804362759i</v>
      </c>
      <c r="R540" s="4">
        <f t="shared" si="476"/>
        <v>2524.0482417220683</v>
      </c>
      <c r="S540" s="4">
        <f t="shared" si="477"/>
        <v>1.5704001378435006</v>
      </c>
      <c r="T540" s="4" t="str">
        <f t="shared" si="465"/>
        <v>1+39.2073701937253i</v>
      </c>
      <c r="U540" s="4">
        <f t="shared" si="478"/>
        <v>39.220120824747845</v>
      </c>
      <c r="V540" s="4">
        <f t="shared" si="479"/>
        <v>1.5452964466014478</v>
      </c>
      <c r="W540" t="str">
        <f t="shared" si="466"/>
        <v>1-22.8101389092485i</v>
      </c>
      <c r="X540" s="4">
        <f t="shared" si="480"/>
        <v>22.832048463929215</v>
      </c>
      <c r="Y540" s="4">
        <f t="shared" si="481"/>
        <v>-1.5269842268897771</v>
      </c>
      <c r="Z540" t="str">
        <f t="shared" si="467"/>
        <v>-1.75422870333816+15.2688276780275i</v>
      </c>
      <c r="AA540" s="4">
        <f t="shared" si="482"/>
        <v>15.369268590434427</v>
      </c>
      <c r="AB540" s="4">
        <f t="shared" si="483"/>
        <v>1.6851843414002419</v>
      </c>
      <c r="AC540" s="47" t="str">
        <f t="shared" si="484"/>
        <v>-0.450819406217833+0.0432663322536095i</v>
      </c>
      <c r="AD540" s="20">
        <f t="shared" si="485"/>
        <v>-6.8801292711384923</v>
      </c>
      <c r="AE540" s="43">
        <f t="shared" si="486"/>
        <v>174.51796239403259</v>
      </c>
      <c r="AF540" t="str">
        <f t="shared" si="468"/>
        <v>72.2956529813786</v>
      </c>
      <c r="AG540" t="str">
        <f t="shared" si="469"/>
        <v>1+2058.38693517058i</v>
      </c>
      <c r="AH540">
        <f t="shared" si="487"/>
        <v>2058.3871780792197</v>
      </c>
      <c r="AI540">
        <f t="shared" si="488"/>
        <v>1.5703105095249554</v>
      </c>
      <c r="AJ540" t="str">
        <f t="shared" si="470"/>
        <v>1+39.2073701937253i</v>
      </c>
      <c r="AK540">
        <f t="shared" si="489"/>
        <v>39.220120824747845</v>
      </c>
      <c r="AL540">
        <f t="shared" si="490"/>
        <v>1.5452964466014478</v>
      </c>
      <c r="AM540" t="str">
        <f t="shared" si="471"/>
        <v>1-5.04818789258269i</v>
      </c>
      <c r="AN540">
        <f t="shared" si="491"/>
        <v>5.1462803070585315</v>
      </c>
      <c r="AO540">
        <f t="shared" si="492"/>
        <v>-1.375237127967228</v>
      </c>
      <c r="AP540" s="41" t="str">
        <f t="shared" si="493"/>
        <v>1.20314919577581-6.98619587485684i</v>
      </c>
      <c r="AQ540">
        <f t="shared" si="494"/>
        <v>17.01174963214218</v>
      </c>
      <c r="AR540" s="43">
        <f t="shared" si="495"/>
        <v>-80.228483496206522</v>
      </c>
      <c r="AS540" t="str">
        <f t="shared" si="472"/>
        <v>-0.0000166666666666667</v>
      </c>
      <c r="AT540" t="str">
        <f t="shared" si="473"/>
        <v>0.0354534730475176i</v>
      </c>
      <c r="AU540">
        <f t="shared" si="496"/>
        <v>3.54534730475176E-2</v>
      </c>
      <c r="AV540">
        <f t="shared" si="497"/>
        <v>1.5707963267948966</v>
      </c>
      <c r="AW540" t="str">
        <f t="shared" si="474"/>
        <v>1+35.4228039531859i</v>
      </c>
      <c r="AX540">
        <f t="shared" si="498"/>
        <v>35.436916343071424</v>
      </c>
      <c r="AY540">
        <f t="shared" si="499"/>
        <v>1.5425734205447714</v>
      </c>
      <c r="AZ540" t="str">
        <f t="shared" si="475"/>
        <v>1+1204.37533440832i</v>
      </c>
      <c r="BA540">
        <f t="shared" si="500"/>
        <v>1204.3757495612208</v>
      </c>
      <c r="BB540">
        <f t="shared" si="501"/>
        <v>1.5699660210408446</v>
      </c>
      <c r="BC540" s="41" t="str">
        <f t="shared" si="502"/>
        <v>-0.000437597661994053+0.0159710358805563i</v>
      </c>
      <c r="BD540">
        <f t="shared" si="503"/>
        <v>-35.930079136534665</v>
      </c>
      <c r="BE540" s="43">
        <f t="shared" si="504"/>
        <v>91.569480398312948</v>
      </c>
      <c r="BF540" s="41" t="str">
        <f t="shared" si="505"/>
        <v>-0.000493730626699997-0.00721898615819333i</v>
      </c>
      <c r="BG540" s="20">
        <f t="shared" si="506"/>
        <v>-42.810208407673159</v>
      </c>
      <c r="BH540" s="43">
        <f t="shared" si="507"/>
        <v>-93.912557207654444</v>
      </c>
      <c r="BI540" s="41" t="str">
        <f t="shared" si="460"/>
        <v>0.111050289710831+0.0222726819564678i</v>
      </c>
      <c r="BJ540" s="20">
        <f t="shared" si="508"/>
        <v>-18.918329504392521</v>
      </c>
      <c r="BK540" s="43">
        <f t="shared" si="461"/>
        <v>11.340996902106504</v>
      </c>
      <c r="BL540">
        <f t="shared" si="509"/>
        <v>-42.810208407673159</v>
      </c>
      <c r="BM540" s="43">
        <f t="shared" si="510"/>
        <v>-93.912557207654444</v>
      </c>
    </row>
    <row r="541" spans="14:65" x14ac:dyDescent="0.25">
      <c r="N541" s="9">
        <v>23</v>
      </c>
      <c r="O541" s="34">
        <f t="shared" si="462"/>
        <v>1698243.6524617488</v>
      </c>
      <c r="P541" s="33" t="str">
        <f t="shared" si="463"/>
        <v>19.6196196196196</v>
      </c>
      <c r="Q541" s="4" t="str">
        <f t="shared" si="464"/>
        <v>1+2582.84067522408i</v>
      </c>
      <c r="R541" s="4">
        <f t="shared" si="476"/>
        <v>2582.8408688093773</v>
      </c>
      <c r="S541" s="4">
        <f t="shared" si="477"/>
        <v>1.5704091562041491</v>
      </c>
      <c r="T541" s="4" t="str">
        <f t="shared" si="465"/>
        <v>1+40.1206271649967i</v>
      </c>
      <c r="U541" s="4">
        <f t="shared" si="478"/>
        <v>40.133087647384812</v>
      </c>
      <c r="V541" s="4">
        <f t="shared" si="479"/>
        <v>1.5458766516716187</v>
      </c>
      <c r="W541" t="str">
        <f t="shared" si="466"/>
        <v>1-23.3414552987847i</v>
      </c>
      <c r="X541" s="4">
        <f t="shared" si="480"/>
        <v>23.362866593489002</v>
      </c>
      <c r="Y541" s="4">
        <f t="shared" si="481"/>
        <v>-1.5279802795000486</v>
      </c>
      <c r="Z541" t="str">
        <f t="shared" si="467"/>
        <v>-1.88403150312663+15.6244843632681i</v>
      </c>
      <c r="AA541" s="4">
        <f t="shared" si="482"/>
        <v>15.73766457651144</v>
      </c>
      <c r="AB541" s="4">
        <f t="shared" si="483"/>
        <v>1.6907989469833387</v>
      </c>
      <c r="AC541" s="47" t="str">
        <f t="shared" si="484"/>
        <v>-0.450226126479942+0.0459551915981043i</v>
      </c>
      <c r="AD541" s="20">
        <f t="shared" si="485"/>
        <v>-6.8863729744410769</v>
      </c>
      <c r="AE541" s="43">
        <f t="shared" si="486"/>
        <v>174.17192616751862</v>
      </c>
      <c r="AF541" t="str">
        <f t="shared" si="468"/>
        <v>72.2956529813786</v>
      </c>
      <c r="AG541" t="str">
        <f t="shared" si="469"/>
        <v>1+2106.33292616233i</v>
      </c>
      <c r="AH541">
        <f t="shared" si="487"/>
        <v>2106.3331635416944</v>
      </c>
      <c r="AI541">
        <f t="shared" si="488"/>
        <v>1.570321568074446</v>
      </c>
      <c r="AJ541" t="str">
        <f t="shared" si="470"/>
        <v>1+40.1206271649967i</v>
      </c>
      <c r="AK541">
        <f t="shared" si="489"/>
        <v>40.133087647384812</v>
      </c>
      <c r="AL541">
        <f t="shared" si="490"/>
        <v>1.5458766516716187</v>
      </c>
      <c r="AM541" t="str">
        <f t="shared" si="471"/>
        <v>1-5.16577529419645i</v>
      </c>
      <c r="AN541">
        <f t="shared" si="491"/>
        <v>5.2616760058113066</v>
      </c>
      <c r="AO541">
        <f t="shared" si="492"/>
        <v>-1.3795796758778365</v>
      </c>
      <c r="AP541" s="41" t="str">
        <f t="shared" si="493"/>
        <v>1.20314844059014-7.14733460900629i</v>
      </c>
      <c r="AQ541">
        <f t="shared" si="494"/>
        <v>17.204235898818261</v>
      </c>
      <c r="AR541" s="43">
        <f t="shared" si="495"/>
        <v>-80.444683470258198</v>
      </c>
      <c r="AS541" t="str">
        <f t="shared" si="472"/>
        <v>-0.0000166666666666667</v>
      </c>
      <c r="AT541" t="str">
        <f t="shared" si="473"/>
        <v>0.0362792905215394i</v>
      </c>
      <c r="AU541">
        <f t="shared" si="496"/>
        <v>3.6279290521539401E-2</v>
      </c>
      <c r="AV541">
        <f t="shared" si="497"/>
        <v>1.5707963267948966</v>
      </c>
      <c r="AW541" t="str">
        <f t="shared" si="474"/>
        <v>1+36.2479070522303i</v>
      </c>
      <c r="AX541">
        <f t="shared" si="498"/>
        <v>36.261698328499833</v>
      </c>
      <c r="AY541">
        <f t="shared" si="499"/>
        <v>1.5432155227837121</v>
      </c>
      <c r="AZ541" t="str">
        <f t="shared" si="475"/>
        <v>1+1232.42883977583i</v>
      </c>
      <c r="BA541">
        <f t="shared" si="500"/>
        <v>1232.4292454787001</v>
      </c>
      <c r="BB541">
        <f t="shared" si="501"/>
        <v>1.569984921098871</v>
      </c>
      <c r="BC541" s="41" t="str">
        <f t="shared" si="502"/>
        <v>-0.000417917501173159+0.0156080336520355i</v>
      </c>
      <c r="BD541">
        <f t="shared" si="503"/>
        <v>-36.129923615848078</v>
      </c>
      <c r="BE541" s="43">
        <f t="shared" si="504"/>
        <v>91.533773543563228</v>
      </c>
      <c r="BF541" s="41" t="str">
        <f t="shared" si="505"/>
        <v>-0.000529112799207583-0.00704635001196314i</v>
      </c>
      <c r="BG541" s="20">
        <f t="shared" si="506"/>
        <v>-43.016296590289159</v>
      </c>
      <c r="BH541" s="43">
        <f t="shared" si="507"/>
        <v>-94.294300288918151</v>
      </c>
      <c r="BI541" s="41" t="str">
        <f t="shared" si="460"/>
        <v>0.111053022309896+0.0217657775689693i</v>
      </c>
      <c r="BJ541" s="20">
        <f t="shared" si="508"/>
        <v>-18.925687717029845</v>
      </c>
      <c r="BK541" s="43">
        <f t="shared" si="461"/>
        <v>11.08909007330508</v>
      </c>
      <c r="BL541">
        <f t="shared" si="509"/>
        <v>-43.016296590289159</v>
      </c>
      <c r="BM541" s="43">
        <f t="shared" si="510"/>
        <v>-94.294300288918151</v>
      </c>
    </row>
    <row r="542" spans="14:65" x14ac:dyDescent="0.25">
      <c r="N542" s="9">
        <v>24</v>
      </c>
      <c r="O542" s="34">
        <f t="shared" si="462"/>
        <v>1737800.8287493798</v>
      </c>
      <c r="P542" s="33" t="str">
        <f t="shared" si="463"/>
        <v>19.6196196196196</v>
      </c>
      <c r="Q542" s="4" t="str">
        <f t="shared" si="464"/>
        <v>1+2643.00276313447i</v>
      </c>
      <c r="R542" s="4">
        <f t="shared" si="476"/>
        <v>2643.0029523132284</v>
      </c>
      <c r="S542" s="4">
        <f t="shared" si="477"/>
        <v>1.5704179692819078</v>
      </c>
      <c r="T542" s="4" t="str">
        <f t="shared" si="465"/>
        <v>1+41.0551566238497i</v>
      </c>
      <c r="U542" s="4">
        <f t="shared" si="478"/>
        <v>41.067333556110384</v>
      </c>
      <c r="V542" s="4">
        <f t="shared" si="479"/>
        <v>1.5464436658779557</v>
      </c>
      <c r="W542" t="str">
        <f t="shared" si="466"/>
        <v>1-23.8851476368807i</v>
      </c>
      <c r="X542" s="4">
        <f t="shared" si="480"/>
        <v>23.906071982565173</v>
      </c>
      <c r="Y542" s="4">
        <f t="shared" si="481"/>
        <v>-1.5289537413350163</v>
      </c>
      <c r="Z542" t="str">
        <f t="shared" si="467"/>
        <v>-2.01995172040202+15.9884253569324i</v>
      </c>
      <c r="AA542" s="4">
        <f t="shared" si="482"/>
        <v>16.115518928875794</v>
      </c>
      <c r="AB542" s="4">
        <f t="shared" si="483"/>
        <v>1.6964688907463623</v>
      </c>
      <c r="AC542" s="47" t="str">
        <f t="shared" si="484"/>
        <v>-0.449598477180571+0.0486572816464863i</v>
      </c>
      <c r="AD542" s="20">
        <f t="shared" si="485"/>
        <v>-6.8929326245126399</v>
      </c>
      <c r="AE542" s="43">
        <f t="shared" si="486"/>
        <v>173.82326963394709</v>
      </c>
      <c r="AF542" t="str">
        <f t="shared" si="468"/>
        <v>72.2956529813786</v>
      </c>
      <c r="AG542" t="str">
        <f t="shared" si="469"/>
        <v>1+2155.39572275211i</v>
      </c>
      <c r="AH542">
        <f t="shared" si="487"/>
        <v>2155.395954728061</v>
      </c>
      <c r="AI542">
        <f t="shared" si="488"/>
        <v>1.5703323749007299</v>
      </c>
      <c r="AJ542" t="str">
        <f t="shared" si="470"/>
        <v>1+41.0551566238497i</v>
      </c>
      <c r="AK542">
        <f t="shared" si="489"/>
        <v>41.067333556110384</v>
      </c>
      <c r="AL542">
        <f t="shared" si="490"/>
        <v>1.5464436658779557</v>
      </c>
      <c r="AM542" t="str">
        <f t="shared" si="471"/>
        <v>1-5.28610165824825i</v>
      </c>
      <c r="AN542">
        <f t="shared" si="491"/>
        <v>5.3798578737114333</v>
      </c>
      <c r="AO542">
        <f t="shared" si="492"/>
        <v>-1.3838304418627656</v>
      </c>
      <c r="AP542" s="41" t="str">
        <f t="shared" si="493"/>
        <v>1.20314771939341-7.31226295453925i</v>
      </c>
      <c r="AQ542">
        <f t="shared" si="494"/>
        <v>17.397048588118409</v>
      </c>
      <c r="AR542" s="43">
        <f t="shared" si="495"/>
        <v>-80.656366085481366</v>
      </c>
      <c r="AS542" t="str">
        <f t="shared" si="472"/>
        <v>-0.0000166666666666667</v>
      </c>
      <c r="AT542" t="str">
        <f t="shared" si="473"/>
        <v>0.0371243437556089i</v>
      </c>
      <c r="AU542">
        <f t="shared" si="496"/>
        <v>3.7124343755608899E-2</v>
      </c>
      <c r="AV542">
        <f t="shared" si="497"/>
        <v>1.5707963267948966</v>
      </c>
      <c r="AW542" t="str">
        <f t="shared" si="474"/>
        <v>1+37.0922292713912i</v>
      </c>
      <c r="AX542">
        <f t="shared" si="498"/>
        <v>37.105706735237497</v>
      </c>
      <c r="AY542">
        <f t="shared" si="499"/>
        <v>1.5438430309737119</v>
      </c>
      <c r="AZ542" t="str">
        <f t="shared" si="475"/>
        <v>1+1261.1357952273i</v>
      </c>
      <c r="BA542">
        <f t="shared" si="500"/>
        <v>1261.136191695248</v>
      </c>
      <c r="BB542">
        <f t="shared" si="501"/>
        <v>1.5700033909396127</v>
      </c>
      <c r="BC542" s="41" t="str">
        <f t="shared" si="502"/>
        <v>-0.000399121776525916+0.015253258160142i</v>
      </c>
      <c r="BD542">
        <f t="shared" si="503"/>
        <v>-36.329775089537421</v>
      </c>
      <c r="BE542" s="43">
        <f t="shared" si="504"/>
        <v>91.498878216589119</v>
      </c>
      <c r="BF542" s="41" t="str">
        <f t="shared" si="505"/>
        <v>-0.000562737535388939-0.00687726182153363i</v>
      </c>
      <c r="BG542" s="20">
        <f t="shared" si="506"/>
        <v>-43.222707714050053</v>
      </c>
      <c r="BH542" s="43">
        <f t="shared" si="507"/>
        <v>-94.677852149463789</v>
      </c>
      <c r="BI542" s="41" t="str">
        <f t="shared" si="460"/>
        <v>0.111055632125242+0.0212704061495341i</v>
      </c>
      <c r="BJ542" s="20">
        <f t="shared" si="508"/>
        <v>-18.93272650141904</v>
      </c>
      <c r="BK542" s="43">
        <f t="shared" si="461"/>
        <v>10.842512131107794</v>
      </c>
      <c r="BL542">
        <f t="shared" si="509"/>
        <v>-43.222707714050053</v>
      </c>
      <c r="BM542" s="43">
        <f t="shared" si="510"/>
        <v>-94.677852149463789</v>
      </c>
    </row>
    <row r="543" spans="14:65" x14ac:dyDescent="0.25">
      <c r="N543" s="9">
        <v>25</v>
      </c>
      <c r="O543" s="34">
        <f t="shared" si="462"/>
        <v>1778279.4100389241</v>
      </c>
      <c r="P543" s="33" t="str">
        <f t="shared" si="463"/>
        <v>19.6196196196196</v>
      </c>
      <c r="Q543" s="4" t="str">
        <f t="shared" si="464"/>
        <v>1+2704.56620609416i</v>
      </c>
      <c r="R543" s="4">
        <f t="shared" si="476"/>
        <v>2704.5663909666846</v>
      </c>
      <c r="S543" s="4">
        <f t="shared" si="477"/>
        <v>1.5704265817495817</v>
      </c>
      <c r="T543" s="4" t="str">
        <f t="shared" si="465"/>
        <v>1+42.011454070174i</v>
      </c>
      <c r="U543" s="4">
        <f t="shared" si="478"/>
        <v>42.023353901019604</v>
      </c>
      <c r="V543" s="4">
        <f t="shared" si="479"/>
        <v>1.5469977883996775</v>
      </c>
      <c r="W543" t="str">
        <f t="shared" si="466"/>
        <v>1-24.4415041964111i</v>
      </c>
      <c r="X543" s="4">
        <f t="shared" si="480"/>
        <v>24.461952648617022</v>
      </c>
      <c r="Y543" s="4">
        <f t="shared" si="481"/>
        <v>-1.529905121152989</v>
      </c>
      <c r="Z543" t="str">
        <f t="shared" si="467"/>
        <v>-2.16227766016836+16.3608436253527i</v>
      </c>
      <c r="AA543" s="4">
        <f t="shared" si="482"/>
        <v>16.50311027694196</v>
      </c>
      <c r="AB543" s="4">
        <f t="shared" si="483"/>
        <v>1.7021965600060691</v>
      </c>
      <c r="AC543" s="47" t="str">
        <f t="shared" si="484"/>
        <v>-0.448935426652456+0.0513732229786607i</v>
      </c>
      <c r="AD543" s="20">
        <f t="shared" si="485"/>
        <v>-6.8998206720265003</v>
      </c>
      <c r="AE543" s="43">
        <f t="shared" si="486"/>
        <v>173.47184373441419</v>
      </c>
      <c r="AF543" t="str">
        <f t="shared" si="468"/>
        <v>72.2956529813786</v>
      </c>
      <c r="AG543" t="str">
        <f t="shared" si="469"/>
        <v>1+2205.60133868414i</v>
      </c>
      <c r="AH543">
        <f t="shared" si="487"/>
        <v>2205.6015653796744</v>
      </c>
      <c r="AI543">
        <f t="shared" si="488"/>
        <v>1.57034293573372</v>
      </c>
      <c r="AJ543" t="str">
        <f t="shared" si="470"/>
        <v>1+42.011454070174i</v>
      </c>
      <c r="AK543">
        <f t="shared" si="489"/>
        <v>42.023353901019604</v>
      </c>
      <c r="AL543">
        <f t="shared" si="490"/>
        <v>1.5469977883996775</v>
      </c>
      <c r="AM543" t="str">
        <f t="shared" si="471"/>
        <v>1-5.40923078336908i</v>
      </c>
      <c r="AN543">
        <f t="shared" si="491"/>
        <v>5.5008888070699697</v>
      </c>
      <c r="AO543">
        <f t="shared" si="492"/>
        <v>-1.3879910649798473</v>
      </c>
      <c r="AP543" s="41" t="str">
        <f t="shared" si="493"/>
        <v>1.20314703065587-7.48106835864984i</v>
      </c>
      <c r="AQ543">
        <f t="shared" si="494"/>
        <v>17.590174007629528</v>
      </c>
      <c r="AR543" s="43">
        <f t="shared" si="495"/>
        <v>-80.863608439565382</v>
      </c>
      <c r="AS543" t="str">
        <f t="shared" si="472"/>
        <v>-0.0000166666666666667</v>
      </c>
      <c r="AT543" t="str">
        <f t="shared" si="473"/>
        <v>0.0379890808081363i</v>
      </c>
      <c r="AU543">
        <f t="shared" si="496"/>
        <v>3.7989080808136302E-2</v>
      </c>
      <c r="AV543">
        <f t="shared" si="497"/>
        <v>1.5707963267948966</v>
      </c>
      <c r="AW543" t="str">
        <f t="shared" si="474"/>
        <v>1+37.9562182814855i</v>
      </c>
      <c r="AX543">
        <f t="shared" si="498"/>
        <v>37.96938906845584</v>
      </c>
      <c r="AY543">
        <f t="shared" si="499"/>
        <v>1.544456275850054</v>
      </c>
      <c r="AZ543" t="str">
        <f t="shared" si="475"/>
        <v>1+1290.51142157051i</v>
      </c>
      <c r="BA543">
        <f t="shared" si="500"/>
        <v>1290.5118090137491</v>
      </c>
      <c r="BB543">
        <f t="shared" si="501"/>
        <v>1.5700214403559736</v>
      </c>
      <c r="BC543" s="41" t="str">
        <f t="shared" si="502"/>
        <v>-0.000381170797623124+0.0149065245540175i</v>
      </c>
      <c r="BD543">
        <f t="shared" si="503"/>
        <v>-36.529633243261642</v>
      </c>
      <c r="BE543" s="43">
        <f t="shared" si="504"/>
        <v>91.464776028746854</v>
      </c>
      <c r="BF543" s="41" t="str">
        <f t="shared" si="505"/>
        <v>-0.000594675135092028-0.0067116489329424i</v>
      </c>
      <c r="BG543" s="20">
        <f t="shared" si="506"/>
        <v>-43.42945391528815</v>
      </c>
      <c r="BH543" s="43">
        <f t="shared" si="507"/>
        <v>-95.063380236838938</v>
      </c>
      <c r="BI543" s="41" t="str">
        <f t="shared" si="460"/>
        <v>0.111058124665164+0.0207863055479046i</v>
      </c>
      <c r="BJ543" s="20">
        <f t="shared" si="508"/>
        <v>-18.939459235632135</v>
      </c>
      <c r="BK543" s="43">
        <f t="shared" si="461"/>
        <v>10.601167589181481</v>
      </c>
      <c r="BL543">
        <f t="shared" si="509"/>
        <v>-43.42945391528815</v>
      </c>
      <c r="BM543" s="43">
        <f t="shared" si="510"/>
        <v>-95.063380236838938</v>
      </c>
    </row>
    <row r="544" spans="14:65" x14ac:dyDescent="0.25">
      <c r="N544" s="9">
        <v>26</v>
      </c>
      <c r="O544" s="34">
        <f t="shared" si="462"/>
        <v>1819700.8586099846</v>
      </c>
      <c r="P544" s="33" t="str">
        <f t="shared" si="463"/>
        <v>19.6196196196196</v>
      </c>
      <c r="Q544" s="4" t="str">
        <f t="shared" si="464"/>
        <v>1+2767.56364585551i</v>
      </c>
      <c r="R544" s="4">
        <f t="shared" si="476"/>
        <v>2767.5638265198227</v>
      </c>
      <c r="S544" s="4">
        <f t="shared" si="477"/>
        <v>1.5704349981736099</v>
      </c>
      <c r="T544" s="4" t="str">
        <f t="shared" si="465"/>
        <v>1+42.9900265455339i</v>
      </c>
      <c r="U544" s="4">
        <f t="shared" si="478"/>
        <v>43.001655577264806</v>
      </c>
      <c r="V544" s="4">
        <f t="shared" si="479"/>
        <v>1.5475393116779457</v>
      </c>
      <c r="W544" t="str">
        <f t="shared" si="466"/>
        <v>1-25.0108199649882i</v>
      </c>
      <c r="X544" s="4">
        <f t="shared" si="480"/>
        <v>25.030803329518857</v>
      </c>
      <c r="Y544" s="4">
        <f t="shared" si="481"/>
        <v>-1.530834916495283</v>
      </c>
      <c r="Z544" t="str">
        <f t="shared" si="467"/>
        <v>-2.31131121482589+16.7419366296247i</v>
      </c>
      <c r="AA544" s="4">
        <f t="shared" si="482"/>
        <v>16.900727843561924</v>
      </c>
      <c r="AB544" s="4">
        <f t="shared" si="483"/>
        <v>1.7079843350037804</v>
      </c>
      <c r="AC544" s="47" t="str">
        <f t="shared" si="484"/>
        <v>-0.448235895741013+0.0541035972388786i</v>
      </c>
      <c r="AD544" s="20">
        <f t="shared" si="485"/>
        <v>-6.9070501269992626</v>
      </c>
      <c r="AE544" s="43">
        <f t="shared" si="486"/>
        <v>173.11750007812711</v>
      </c>
      <c r="AF544" t="str">
        <f t="shared" si="468"/>
        <v>72.2956529813786</v>
      </c>
      <c r="AG544" t="str">
        <f t="shared" si="469"/>
        <v>1+2256.97639364053i</v>
      </c>
      <c r="AH544">
        <f t="shared" si="487"/>
        <v>2256.9766151758449</v>
      </c>
      <c r="AI544">
        <f t="shared" si="488"/>
        <v>1.5703532561728997</v>
      </c>
      <c r="AJ544" t="str">
        <f t="shared" si="470"/>
        <v>1+42.9900265455339i</v>
      </c>
      <c r="AK544">
        <f t="shared" si="489"/>
        <v>43.001655577264806</v>
      </c>
      <c r="AL544">
        <f t="shared" si="490"/>
        <v>1.5475393116779457</v>
      </c>
      <c r="AM544" t="str">
        <f t="shared" si="471"/>
        <v>1-5.53522795425092i</v>
      </c>
      <c r="AN544">
        <f t="shared" si="491"/>
        <v>5.6248331980175932</v>
      </c>
      <c r="AO544">
        <f t="shared" si="492"/>
        <v>-1.3920631747762144</v>
      </c>
      <c r="AP544" s="41" t="str">
        <f t="shared" si="493"/>
        <v>1.20314637291661-7.65384032419974i</v>
      </c>
      <c r="AQ544">
        <f t="shared" si="494"/>
        <v>17.78359899765826</v>
      </c>
      <c r="AR544" s="43">
        <f t="shared" si="495"/>
        <v>-81.06648746386594</v>
      </c>
      <c r="AS544" t="str">
        <f t="shared" si="472"/>
        <v>-0.0000166666666666667</v>
      </c>
      <c r="AT544" t="str">
        <f t="shared" si="473"/>
        <v>0.0388739601741531i</v>
      </c>
      <c r="AU544">
        <f t="shared" si="496"/>
        <v>3.8873960174153101E-2</v>
      </c>
      <c r="AV544">
        <f t="shared" si="497"/>
        <v>1.5707963267948966</v>
      </c>
      <c r="AW544" t="str">
        <f t="shared" si="474"/>
        <v>1+38.8403321809228i</v>
      </c>
      <c r="AX544">
        <f t="shared" si="498"/>
        <v>38.853203264652805</v>
      </c>
      <c r="AY544">
        <f t="shared" si="499"/>
        <v>1.5450555807172521</v>
      </c>
      <c r="AZ544" t="str">
        <f t="shared" si="475"/>
        <v>1+1320.57129415137i</v>
      </c>
      <c r="BA544">
        <f t="shared" si="500"/>
        <v>1320.5716727753263</v>
      </c>
      <c r="BB544">
        <f t="shared" si="501"/>
        <v>1.5700390789179457</v>
      </c>
      <c r="BC544" s="41" t="str">
        <f t="shared" si="502"/>
        <v>-0.000364026650229786+0.0145676520299153i</v>
      </c>
      <c r="BD544">
        <f t="shared" si="503"/>
        <v>-36.729497776787589</v>
      </c>
      <c r="BE544" s="43">
        <f t="shared" si="504"/>
        <v>91.431449004372425</v>
      </c>
      <c r="BF544" s="41" t="str">
        <f t="shared" si="505"/>
        <v>-0.000624992566503321-0.00654943970774072i</v>
      </c>
      <c r="BG544" s="20">
        <f t="shared" si="506"/>
        <v>-43.636547903786848</v>
      </c>
      <c r="BH544" s="43">
        <f t="shared" si="507"/>
        <v>-95.451050917500467</v>
      </c>
      <c r="BI544" s="41" t="str">
        <f t="shared" si="460"/>
        <v>0.111060505191607+0.020313219556316i</v>
      </c>
      <c r="BJ544" s="20">
        <f t="shared" si="508"/>
        <v>-18.945898779129323</v>
      </c>
      <c r="BK544" s="43">
        <f t="shared" si="461"/>
        <v>10.364961540506483</v>
      </c>
      <c r="BL544">
        <f t="shared" si="509"/>
        <v>-43.636547903786848</v>
      </c>
      <c r="BM544" s="43">
        <f t="shared" si="510"/>
        <v>-95.451050917500467</v>
      </c>
    </row>
    <row r="545" spans="14:65" x14ac:dyDescent="0.25">
      <c r="N545" s="9">
        <v>27</v>
      </c>
      <c r="O545" s="34">
        <f t="shared" si="462"/>
        <v>1862087.1366628683</v>
      </c>
      <c r="P545" s="33" t="str">
        <f t="shared" si="463"/>
        <v>19.6196196196196</v>
      </c>
      <c r="Q545" s="4" t="str">
        <f t="shared" si="464"/>
        <v>1+2832.02848449491i</v>
      </c>
      <c r="R545" s="4">
        <f t="shared" si="476"/>
        <v>2832.0286610468015</v>
      </c>
      <c r="S545" s="4">
        <f t="shared" si="477"/>
        <v>1.5704432230164869</v>
      </c>
      <c r="T545" s="4" t="str">
        <f t="shared" si="465"/>
        <v>1+43.9913929020084i</v>
      </c>
      <c r="U545" s="4">
        <f t="shared" si="478"/>
        <v>44.00275729382053</v>
      </c>
      <c r="V545" s="4">
        <f t="shared" si="479"/>
        <v>1.5480685215644396</v>
      </c>
      <c r="W545" t="str">
        <f t="shared" si="466"/>
        <v>1-25.5933968013679i</v>
      </c>
      <c r="X545" s="4">
        <f t="shared" si="480"/>
        <v>25.612925639845763</v>
      </c>
      <c r="Y545" s="4">
        <f t="shared" si="481"/>
        <v>-1.5317436139174199</v>
      </c>
      <c r="Z545" t="str">
        <f t="shared" si="467"/>
        <v>-2.46736850452529+17.1319064303034i</v>
      </c>
      <c r="AA545" s="4">
        <f t="shared" si="482"/>
        <v>17.308671967363477</v>
      </c>
      <c r="AB545" s="4">
        <f t="shared" si="483"/>
        <v>1.7138345875962131</v>
      </c>
      <c r="AC545" s="47" t="str">
        <f t="shared" si="484"/>
        <v>-0.447498757804021+0.0568489445700578i</v>
      </c>
      <c r="AD545" s="20">
        <f t="shared" si="485"/>
        <v>-6.9146345744009974</v>
      </c>
      <c r="AE545" s="43">
        <f t="shared" si="486"/>
        <v>172.76009101254107</v>
      </c>
      <c r="AF545" t="str">
        <f t="shared" si="468"/>
        <v>72.2956529813786</v>
      </c>
      <c r="AG545" t="str">
        <f t="shared" si="469"/>
        <v>1+2309.54812735544i</v>
      </c>
      <c r="AH545">
        <f t="shared" si="487"/>
        <v>2309.548343847996</v>
      </c>
      <c r="AI545">
        <f t="shared" si="488"/>
        <v>1.570363341690294</v>
      </c>
      <c r="AJ545" t="str">
        <f t="shared" si="470"/>
        <v>1+43.9913929020084i</v>
      </c>
      <c r="AK545">
        <f t="shared" si="489"/>
        <v>44.00275729382053</v>
      </c>
      <c r="AL545">
        <f t="shared" si="490"/>
        <v>1.5480685215644396</v>
      </c>
      <c r="AM545" t="str">
        <f t="shared" si="471"/>
        <v>1-5.66415997626149i</v>
      </c>
      <c r="AN545">
        <f t="shared" si="491"/>
        <v>5.7517569695426598</v>
      </c>
      <c r="AO545">
        <f t="shared" si="492"/>
        <v>-1.3960483898805192</v>
      </c>
      <c r="AP545" s="41" t="str">
        <f t="shared" si="493"/>
        <v>1.20314574478049-7.83067045717385i</v>
      </c>
      <c r="AQ545">
        <f t="shared" si="494"/>
        <v>17.977310914066138</v>
      </c>
      <c r="AR545" s="43">
        <f t="shared" si="495"/>
        <v>-81.265079834402584</v>
      </c>
      <c r="AS545" t="str">
        <f t="shared" si="472"/>
        <v>-0.0000166666666666667</v>
      </c>
      <c r="AT545" t="str">
        <f t="shared" si="473"/>
        <v>0.039779451028412i</v>
      </c>
      <c r="AU545">
        <f t="shared" si="496"/>
        <v>3.9779451028412002E-2</v>
      </c>
      <c r="AV545">
        <f t="shared" si="497"/>
        <v>1.5707963267948966</v>
      </c>
      <c r="AW545" t="str">
        <f t="shared" si="474"/>
        <v>1+39.745039738595i</v>
      </c>
      <c r="AX545">
        <f t="shared" si="498"/>
        <v>39.757617934460001</v>
      </c>
      <c r="AY545">
        <f t="shared" si="499"/>
        <v>1.5456412616116924</v>
      </c>
      <c r="AZ545" t="str">
        <f t="shared" si="475"/>
        <v>1+1351.33135111223i</v>
      </c>
      <c r="BA545">
        <f t="shared" si="500"/>
        <v>1351.3317211176557</v>
      </c>
      <c r="BB545">
        <f t="shared" si="501"/>
        <v>1.5700563159776841</v>
      </c>
      <c r="BC545" s="41" t="str">
        <f t="shared" si="502"/>
        <v>-0.000347653117256011+0.0142364637497525i</v>
      </c>
      <c r="BD545">
        <f t="shared" si="503"/>
        <v>-36.929368403357692</v>
      </c>
      <c r="BE545" s="43">
        <f t="shared" si="504"/>
        <v>91.398879571753781</v>
      </c>
      <c r="BF545" s="41" t="str">
        <f t="shared" si="505"/>
        <v>-0.000653753600464557-0.00639056355632871i</v>
      </c>
      <c r="BG545" s="20">
        <f t="shared" si="506"/>
        <v>-43.844002977758691</v>
      </c>
      <c r="BH545" s="43">
        <f t="shared" si="507"/>
        <v>-95.841029415705123</v>
      </c>
      <c r="BI545" s="41" t="str">
        <f t="shared" si="460"/>
        <v>0.111062778731127+0.0198508977758775i</v>
      </c>
      <c r="BJ545" s="20">
        <f t="shared" si="508"/>
        <v>-18.952057489291565</v>
      </c>
      <c r="BK545" s="43">
        <f t="shared" si="461"/>
        <v>10.133799737351239</v>
      </c>
      <c r="BL545">
        <f t="shared" si="509"/>
        <v>-43.844002977758691</v>
      </c>
      <c r="BM545" s="43">
        <f t="shared" si="510"/>
        <v>-95.841029415705123</v>
      </c>
    </row>
    <row r="546" spans="14:65" x14ac:dyDescent="0.25">
      <c r="N546" s="9">
        <v>28</v>
      </c>
      <c r="O546" s="34">
        <f t="shared" si="462"/>
        <v>1905460.7179632513</v>
      </c>
      <c r="P546" s="33" t="str">
        <f t="shared" si="463"/>
        <v>19.6196196196196</v>
      </c>
      <c r="Q546" s="4" t="str">
        <f t="shared" si="464"/>
        <v>1+2897.99490212315i</v>
      </c>
      <c r="R546" s="4">
        <f t="shared" si="476"/>
        <v>2897.9950746562295</v>
      </c>
      <c r="S546" s="4">
        <f t="shared" si="477"/>
        <v>1.570451260639129</v>
      </c>
      <c r="T546" s="4" t="str">
        <f t="shared" si="465"/>
        <v>1+45.0160840772948i</v>
      </c>
      <c r="U546" s="4">
        <f t="shared" si="478"/>
        <v>45.027189848513466</v>
      </c>
      <c r="V546" s="4">
        <f t="shared" si="479"/>
        <v>1.5485856974668695</v>
      </c>
      <c r="W546" t="str">
        <f t="shared" si="466"/>
        <v>1-26.1895435955007i</v>
      </c>
      <c r="X546" s="4">
        <f t="shared" si="480"/>
        <v>26.208628230806582</v>
      </c>
      <c r="Y546" s="4">
        <f t="shared" si="481"/>
        <v>-1.5326316892166609</v>
      </c>
      <c r="Z546" t="str">
        <f t="shared" si="467"/>
        <v>-2.63078054770105+17.5309597945392i</v>
      </c>
      <c r="AA546" s="4">
        <f t="shared" si="482"/>
        <v>17.727254655132366</v>
      </c>
      <c r="AB546" s="4">
        <f t="shared" si="483"/>
        <v>1.7197496798125691</v>
      </c>
      <c r="AC546" s="47" t="str">
        <f t="shared" si="484"/>
        <v>-0.446722838797321+0.0596097609230999i</v>
      </c>
      <c r="AD546" s="20">
        <f t="shared" si="485"/>
        <v>-6.9225881899423367</v>
      </c>
      <c r="AE546" s="43">
        <f t="shared" si="486"/>
        <v>172.39946970119726</v>
      </c>
      <c r="AF546" t="str">
        <f t="shared" si="468"/>
        <v>72.2956529813786</v>
      </c>
      <c r="AG546" t="str">
        <f t="shared" si="469"/>
        <v>1+2363.34441405798i</v>
      </c>
      <c r="AH546">
        <f t="shared" si="487"/>
        <v>2363.3446256225639</v>
      </c>
      <c r="AI546">
        <f t="shared" si="488"/>
        <v>1.5703731976333692</v>
      </c>
      <c r="AJ546" t="str">
        <f t="shared" si="470"/>
        <v>1+45.0160840772948i</v>
      </c>
      <c r="AK546">
        <f t="shared" si="489"/>
        <v>45.027189848513466</v>
      </c>
      <c r="AL546">
        <f t="shared" si="490"/>
        <v>1.5485856974668695</v>
      </c>
      <c r="AM546" t="str">
        <f t="shared" si="471"/>
        <v>1-5.79609521086556i</v>
      </c>
      <c r="AN546">
        <f t="shared" si="491"/>
        <v>5.8817276112906391</v>
      </c>
      <c r="AO546">
        <f t="shared" si="492"/>
        <v>-1.3999483167123512</v>
      </c>
      <c r="AP546" s="41" t="str">
        <f t="shared" si="493"/>
        <v>1.20314514491513-8.01165251525107i</v>
      </c>
      <c r="AQ546">
        <f t="shared" si="494"/>
        <v>18.17129761134364</v>
      </c>
      <c r="AR546" s="43">
        <f t="shared" si="495"/>
        <v>-81.459461889742627</v>
      </c>
      <c r="AS546" t="str">
        <f t="shared" si="472"/>
        <v>-0.0000166666666666667</v>
      </c>
      <c r="AT546" t="str">
        <f t="shared" si="473"/>
        <v>0.0407060334741495i</v>
      </c>
      <c r="AU546">
        <f t="shared" si="496"/>
        <v>4.07060334741495E-2</v>
      </c>
      <c r="AV546">
        <f t="shared" si="497"/>
        <v>1.5707963267948966</v>
      </c>
      <c r="AW546" t="str">
        <f t="shared" si="474"/>
        <v>1+40.6708206424247i</v>
      </c>
      <c r="AX546">
        <f t="shared" si="498"/>
        <v>40.683112611110268</v>
      </c>
      <c r="AY546">
        <f t="shared" si="499"/>
        <v>1.546213627461005</v>
      </c>
      <c r="AZ546" t="str">
        <f t="shared" si="475"/>
        <v>1+1382.80790184244i</v>
      </c>
      <c r="BA546">
        <f t="shared" si="500"/>
        <v>1382.8082634255161</v>
      </c>
      <c r="BB546">
        <f t="shared" si="501"/>
        <v>1.5700731606744656</v>
      </c>
      <c r="BC546" s="41" t="str">
        <f t="shared" si="502"/>
        <v>-0.000332015603187292+0.0139127867608063i</v>
      </c>
      <c r="BD546">
        <f t="shared" si="503"/>
        <v>-37.129244849087328</v>
      </c>
      <c r="BE546" s="43">
        <f t="shared" si="504"/>
        <v>91.367050554283495</v>
      </c>
      <c r="BF546" s="41" t="str">
        <f t="shared" si="505"/>
        <v>-0.000681018939804901-0.00623495096809791i</v>
      </c>
      <c r="BG546" s="20">
        <f t="shared" si="506"/>
        <v>-44.05183303902966</v>
      </c>
      <c r="BH546" s="43">
        <f t="shared" si="507"/>
        <v>-96.233479744519244</v>
      </c>
      <c r="BI546" s="41" t="str">
        <f t="shared" si="460"/>
        <v>0.111064950085355+0.0193990954858817i</v>
      </c>
      <c r="BJ546" s="20">
        <f t="shared" si="508"/>
        <v>-18.957947237743667</v>
      </c>
      <c r="BK546" s="43">
        <f t="shared" si="461"/>
        <v>9.9075886645408691</v>
      </c>
      <c r="BL546">
        <f t="shared" si="509"/>
        <v>-44.05183303902966</v>
      </c>
      <c r="BM546" s="43">
        <f t="shared" si="510"/>
        <v>-96.233479744519244</v>
      </c>
    </row>
    <row r="547" spans="14:65" x14ac:dyDescent="0.25">
      <c r="N547" s="9">
        <v>29</v>
      </c>
      <c r="O547" s="34">
        <f t="shared" si="462"/>
        <v>1949844.5997580495</v>
      </c>
      <c r="P547" s="33" t="str">
        <f t="shared" si="463"/>
        <v>19.6196196196196</v>
      </c>
      <c r="Q547" s="4" t="str">
        <f t="shared" si="464"/>
        <v>1+2965.49787500795i</v>
      </c>
      <c r="R547" s="4">
        <f t="shared" si="476"/>
        <v>2965.4980436136975</v>
      </c>
      <c r="S547" s="4">
        <f t="shared" si="477"/>
        <v>1.5704591153031859</v>
      </c>
      <c r="T547" s="4" t="str">
        <f t="shared" si="465"/>
        <v>1+46.0646433762168i</v>
      </c>
      <c r="U547" s="4">
        <f t="shared" si="478"/>
        <v>46.075496409458623</v>
      </c>
      <c r="V547" s="4">
        <f t="shared" si="479"/>
        <v>1.5490911124914732</v>
      </c>
      <c r="W547" t="str">
        <f t="shared" si="466"/>
        <v>1-26.799576432307i</v>
      </c>
      <c r="X547" s="4">
        <f t="shared" si="480"/>
        <v>26.818226953903288</v>
      </c>
      <c r="Y547" s="4">
        <f t="shared" si="481"/>
        <v>-1.5334996076558449</v>
      </c>
      <c r="Z547" t="str">
        <f t="shared" si="467"/>
        <v>-2.80189396320559+17.9393083057075i</v>
      </c>
      <c r="AA547" s="4">
        <f t="shared" si="482"/>
        <v>18.156800166005958</v>
      </c>
      <c r="AB547" s="4">
        <f t="shared" si="483"/>
        <v>1.7257319622710914</v>
      </c>
      <c r="AC547" s="47" t="str">
        <f t="shared" si="484"/>
        <v>-0.445906917458921+0.0623864952391615i</v>
      </c>
      <c r="AD547" s="20">
        <f t="shared" si="485"/>
        <v>-6.9309257559914474</v>
      </c>
      <c r="AE547" s="43">
        <f t="shared" si="486"/>
        <v>172.03549020965428</v>
      </c>
      <c r="AF547" t="str">
        <f t="shared" si="468"/>
        <v>72.2956529813786</v>
      </c>
      <c r="AG547" t="str">
        <f t="shared" si="469"/>
        <v>1+2418.39377725138i</v>
      </c>
      <c r="AH547">
        <f t="shared" si="487"/>
        <v>2418.3939840001667</v>
      </c>
      <c r="AI547">
        <f t="shared" si="488"/>
        <v>1.5703828292278696</v>
      </c>
      <c r="AJ547" t="str">
        <f t="shared" si="470"/>
        <v>1+46.0646433762168i</v>
      </c>
      <c r="AK547">
        <f t="shared" si="489"/>
        <v>46.075496409458623</v>
      </c>
      <c r="AL547">
        <f t="shared" si="490"/>
        <v>1.5490911124914732</v>
      </c>
      <c r="AM547" t="str">
        <f t="shared" si="471"/>
        <v>1-5.93110361187073i</v>
      </c>
      <c r="AN547">
        <f t="shared" si="491"/>
        <v>6.0148142161455009</v>
      </c>
      <c r="AO547">
        <f t="shared" si="492"/>
        <v>-1.4037645483027437</v>
      </c>
      <c r="AP547" s="41" t="str">
        <f t="shared" si="493"/>
        <v>1.20314457204816-8.19688245751569i</v>
      </c>
      <c r="AQ547">
        <f t="shared" si="494"/>
        <v>18.365547425951355</v>
      </c>
      <c r="AR547" s="43">
        <f t="shared" si="495"/>
        <v>-81.649709555419136</v>
      </c>
      <c r="AS547" t="str">
        <f t="shared" si="472"/>
        <v>-0.0000166666666666667</v>
      </c>
      <c r="AT547" t="str">
        <f t="shared" si="473"/>
        <v>0.041654198797643i</v>
      </c>
      <c r="AU547">
        <f t="shared" si="496"/>
        <v>4.1654198797642997E-2</v>
      </c>
      <c r="AV547">
        <f t="shared" si="497"/>
        <v>1.5707963267948966</v>
      </c>
      <c r="AW547" t="str">
        <f t="shared" si="474"/>
        <v>1+41.6181657537003i</v>
      </c>
      <c r="AX547">
        <f t="shared" si="498"/>
        <v>41.630178004693569</v>
      </c>
      <c r="AY547">
        <f t="shared" si="499"/>
        <v>1.5467729802402108</v>
      </c>
      <c r="AZ547" t="str">
        <f t="shared" si="475"/>
        <v>1+1415.01763562581i</v>
      </c>
      <c r="BA547">
        <f t="shared" si="500"/>
        <v>1415.0179889782526</v>
      </c>
      <c r="BB547">
        <f t="shared" si="501"/>
        <v>1.5700896219395324</v>
      </c>
      <c r="BC547" s="41" t="str">
        <f t="shared" si="502"/>
        <v>-0.000317081061844657+0.0135964519165787i</v>
      </c>
      <c r="BD547">
        <f t="shared" si="503"/>
        <v>-37.329126852388143</v>
      </c>
      <c r="BE547" s="43">
        <f t="shared" si="504"/>
        <v>91.335945161789866</v>
      </c>
      <c r="BF547" s="41" t="str">
        <f t="shared" si="505"/>
        <v>-0.000706846343891373-0.00608253353865525i</v>
      </c>
      <c r="BG547" s="20">
        <f t="shared" si="506"/>
        <v>-44.260052608379581</v>
      </c>
      <c r="BH547" s="43">
        <f t="shared" si="507"/>
        <v>-96.628564628555822</v>
      </c>
      <c r="BI547" s="41" t="str">
        <f t="shared" si="460"/>
        <v>0.111067023841002+0.0189575735159904i</v>
      </c>
      <c r="BJ547" s="20">
        <f t="shared" si="508"/>
        <v>-18.963579426436777</v>
      </c>
      <c r="BK547" s="43">
        <f t="shared" si="461"/>
        <v>9.6862356063707384</v>
      </c>
      <c r="BL547">
        <f t="shared" si="509"/>
        <v>-44.260052608379581</v>
      </c>
      <c r="BM547" s="43">
        <f t="shared" si="510"/>
        <v>-96.628564628555822</v>
      </c>
    </row>
    <row r="548" spans="14:65" x14ac:dyDescent="0.25">
      <c r="N548" s="9">
        <v>30</v>
      </c>
      <c r="O548" s="34">
        <f t="shared" si="462"/>
        <v>1995262.31496888</v>
      </c>
      <c r="P548" s="33" t="str">
        <f t="shared" si="463"/>
        <v>19.6196196196196</v>
      </c>
      <c r="Q548" s="4" t="str">
        <f t="shared" si="464"/>
        <v>1+3034.57319411911i</v>
      </c>
      <c r="R548" s="4">
        <f t="shared" si="476"/>
        <v>3034.5733588869225</v>
      </c>
      <c r="S548" s="4">
        <f t="shared" si="477"/>
        <v>1.5704667911733008</v>
      </c>
      <c r="T548" s="4" t="str">
        <f t="shared" si="465"/>
        <v>1+47.1376267587948i</v>
      </c>
      <c r="U548" s="4">
        <f t="shared" si="478"/>
        <v>47.148232803058988</v>
      </c>
      <c r="V548" s="4">
        <f t="shared" si="479"/>
        <v>1.5495850335825523</v>
      </c>
      <c r="W548" t="str">
        <f t="shared" si="466"/>
        <v>1-27.4238187592723i</v>
      </c>
      <c r="X548" s="4">
        <f t="shared" si="480"/>
        <v>27.442045028412426</v>
      </c>
      <c r="Y548" s="4">
        <f t="shared" si="481"/>
        <v>-1.5343478241835309</v>
      </c>
      <c r="Z548" t="str">
        <f t="shared" si="467"/>
        <v>-2.98107170553496+18.3571684755945i</v>
      </c>
      <c r="AA548" s="4">
        <f t="shared" si="482"/>
        <v>18.597645629350545</v>
      </c>
      <c r="AB548" s="4">
        <f t="shared" si="483"/>
        <v>1.7317837724483012</v>
      </c>
      <c r="AC548" s="47" t="str">
        <f t="shared" si="484"/>
        <v>-0.445049725604665+0.0651795465035445i</v>
      </c>
      <c r="AD548" s="20">
        <f t="shared" si="485"/>
        <v>-6.9396626775687844</v>
      </c>
      <c r="AE548" s="43">
        <f t="shared" si="486"/>
        <v>171.66800759990585</v>
      </c>
      <c r="AF548" t="str">
        <f t="shared" si="468"/>
        <v>72.2956529813786</v>
      </c>
      <c r="AG548" t="str">
        <f t="shared" si="469"/>
        <v>1+2474.72540483673i</v>
      </c>
      <c r="AH548">
        <f t="shared" si="487"/>
        <v>2474.7256068793395</v>
      </c>
      <c r="AI548">
        <f t="shared" si="488"/>
        <v>1.5703922415805867</v>
      </c>
      <c r="AJ548" t="str">
        <f t="shared" si="470"/>
        <v>1+47.1376267587948i</v>
      </c>
      <c r="AK548">
        <f t="shared" si="489"/>
        <v>47.148232803058988</v>
      </c>
      <c r="AL548">
        <f t="shared" si="490"/>
        <v>1.5495850335825523</v>
      </c>
      <c r="AM548" t="str">
        <f t="shared" si="471"/>
        <v>1-6.0692567625184i</v>
      </c>
      <c r="AN548">
        <f t="shared" si="491"/>
        <v>6.1510875176163218</v>
      </c>
      <c r="AO548">
        <f t="shared" si="492"/>
        <v>-1.4074986632198883</v>
      </c>
      <c r="AP548" s="41" t="str">
        <f t="shared" si="493"/>
        <v>1.20314402496443-8.38645849533657i</v>
      </c>
      <c r="AQ548">
        <f t="shared" si="494"/>
        <v>18.560049159953458</v>
      </c>
      <c r="AR548" s="43">
        <f t="shared" si="495"/>
        <v>-81.835898274543041</v>
      </c>
      <c r="AS548" t="str">
        <f t="shared" si="472"/>
        <v>-0.0000166666666666667</v>
      </c>
      <c r="AT548" t="str">
        <f t="shared" si="473"/>
        <v>0.0426244497286974i</v>
      </c>
      <c r="AU548">
        <f t="shared" si="496"/>
        <v>4.2624449728697403E-2</v>
      </c>
      <c r="AV548">
        <f t="shared" si="497"/>
        <v>1.5707963267948966</v>
      </c>
      <c r="AW548" t="str">
        <f t="shared" si="474"/>
        <v>1+42.5875773673405i</v>
      </c>
      <c r="AX548">
        <f t="shared" si="498"/>
        <v>42.599316262344075</v>
      </c>
      <c r="AY548">
        <f t="shared" si="499"/>
        <v>1.5473196151246935</v>
      </c>
      <c r="AZ548" t="str">
        <f t="shared" si="475"/>
        <v>1+1447.97763048957i</v>
      </c>
      <c r="BA548">
        <f t="shared" si="500"/>
        <v>1447.9779757987305</v>
      </c>
      <c r="BB548">
        <f t="shared" si="501"/>
        <v>1.5701057085008299</v>
      </c>
      <c r="BC548" s="41" t="str">
        <f t="shared" si="502"/>
        <v>-0.000302817927330889+0.0132872937988452i</v>
      </c>
      <c r="BD548">
        <f t="shared" si="503"/>
        <v>-37.529014163417173</v>
      </c>
      <c r="BE548" s="43">
        <f t="shared" si="504"/>
        <v>91.305546982043595</v>
      </c>
      <c r="BF548" s="41" t="str">
        <f t="shared" si="505"/>
        <v>-0.000731290748601304-0.00593324399438119i</v>
      </c>
      <c r="BG548" s="20">
        <f t="shared" si="506"/>
        <v>-44.468676840985964</v>
      </c>
      <c r="BH548" s="43">
        <f t="shared" si="507"/>
        <v>-97.026445418050557</v>
      </c>
      <c r="BI548" s="41" t="str">
        <f t="shared" si="460"/>
        <v>0.111069004379438+0.0185260981212319i</v>
      </c>
      <c r="BJ548" s="20">
        <f t="shared" si="508"/>
        <v>-18.968965003463712</v>
      </c>
      <c r="BK548" s="43">
        <f t="shared" si="461"/>
        <v>9.4696487075005837</v>
      </c>
      <c r="BL548">
        <f t="shared" si="509"/>
        <v>-44.468676840985964</v>
      </c>
      <c r="BM548" s="43">
        <f t="shared" si="510"/>
        <v>-97.026445418050557</v>
      </c>
    </row>
    <row r="549" spans="14:65" x14ac:dyDescent="0.25">
      <c r="N549" s="9">
        <v>31</v>
      </c>
      <c r="O549" s="34">
        <f t="shared" si="462"/>
        <v>2041737.9446695296</v>
      </c>
      <c r="P549" s="33" t="str">
        <f t="shared" si="463"/>
        <v>19.6196196196196</v>
      </c>
      <c r="Q549" s="4" t="str">
        <f t="shared" si="464"/>
        <v>1+3105.2574841051i</v>
      </c>
      <c r="R549" s="4">
        <f t="shared" si="476"/>
        <v>3105.2576451223395</v>
      </c>
      <c r="S549" s="4">
        <f t="shared" si="477"/>
        <v>1.5704742923193178</v>
      </c>
      <c r="T549" s="4" t="str">
        <f t="shared" si="465"/>
        <v>1+48.2356031350203i</v>
      </c>
      <c r="U549" s="4">
        <f t="shared" si="478"/>
        <v>48.245967808711015</v>
      </c>
      <c r="V549" s="4">
        <f t="shared" si="479"/>
        <v>1.5500677216590855</v>
      </c>
      <c r="W549" t="str">
        <f t="shared" si="466"/>
        <v>1-28.0626015579407i</v>
      </c>
      <c r="X549" s="4">
        <f t="shared" si="480"/>
        <v>28.080413212766935</v>
      </c>
      <c r="Y549" s="4">
        <f t="shared" si="481"/>
        <v>-1.5351767836504222</v>
      </c>
      <c r="Z549" t="str">
        <f t="shared" si="467"/>
        <v>-3.16869383470332+18.7847618591929i</v>
      </c>
      <c r="AA549" s="4">
        <f t="shared" si="482"/>
        <v>19.05014169828338</v>
      </c>
      <c r="AB549" s="4">
        <f t="shared" si="483"/>
        <v>1.7379074327940263</v>
      </c>
      <c r="AC549" s="47" t="str">
        <f t="shared" si="484"/>
        <v>-0.444149948549424+0.0679892606705845i</v>
      </c>
      <c r="AD549" s="20">
        <f t="shared" si="485"/>
        <v>-6.9488149983618612</v>
      </c>
      <c r="AE549" s="43">
        <f t="shared" si="486"/>
        <v>171.29687803368225</v>
      </c>
      <c r="AF549" t="str">
        <f t="shared" si="468"/>
        <v>72.2956529813786</v>
      </c>
      <c r="AG549" t="str">
        <f t="shared" si="469"/>
        <v>1+2532.36916458857i</v>
      </c>
      <c r="AH549">
        <f t="shared" si="487"/>
        <v>2532.3693620321292</v>
      </c>
      <c r="AI549">
        <f t="shared" si="488"/>
        <v>1.5704014396820676</v>
      </c>
      <c r="AJ549" t="str">
        <f t="shared" si="470"/>
        <v>1+48.2356031350203i</v>
      </c>
      <c r="AK549">
        <f t="shared" si="489"/>
        <v>48.245967808711015</v>
      </c>
      <c r="AL549">
        <f t="shared" si="490"/>
        <v>1.5500677216590855</v>
      </c>
      <c r="AM549" t="str">
        <f t="shared" si="471"/>
        <v>1-6.21062791343763i</v>
      </c>
      <c r="AN549">
        <f t="shared" si="491"/>
        <v>6.2906199280492734</v>
      </c>
      <c r="AO549">
        <f t="shared" si="492"/>
        <v>-1.4111522245942396</v>
      </c>
      <c r="AP549" s="41" t="str">
        <f t="shared" si="493"/>
        <v>1.20314350250352-8.58048114443964i</v>
      </c>
      <c r="AQ549">
        <f t="shared" si="494"/>
        <v>18.75479206496323</v>
      </c>
      <c r="AR549" s="43">
        <f t="shared" si="495"/>
        <v>-82.018102944273153</v>
      </c>
      <c r="AS549" t="str">
        <f t="shared" si="472"/>
        <v>-0.0000166666666666667</v>
      </c>
      <c r="AT549" t="str">
        <f t="shared" si="473"/>
        <v>0.0436173007071994i</v>
      </c>
      <c r="AU549">
        <f t="shared" si="496"/>
        <v>4.3617300707199401E-2</v>
      </c>
      <c r="AV549">
        <f t="shared" si="497"/>
        <v>1.5707963267948966</v>
      </c>
      <c r="AW549" t="str">
        <f t="shared" si="474"/>
        <v>1+43.5795694782138i</v>
      </c>
      <c r="AX549">
        <f t="shared" si="498"/>
        <v>43.591041234483761</v>
      </c>
      <c r="AY549">
        <f t="shared" si="499"/>
        <v>1.5478538206400367</v>
      </c>
      <c r="AZ549" t="str">
        <f t="shared" si="475"/>
        <v>1+1481.70536225927i</v>
      </c>
      <c r="BA549">
        <f t="shared" si="500"/>
        <v>1481.7056997082366</v>
      </c>
      <c r="BB549">
        <f t="shared" si="501"/>
        <v>1.5701214288876324</v>
      </c>
      <c r="BC549" s="41" t="str">
        <f t="shared" si="502"/>
        <v>-0.000289196048025291+0.0129851506409008i</v>
      </c>
      <c r="BD549">
        <f t="shared" si="503"/>
        <v>-37.728906543550977</v>
      </c>
      <c r="BE549" s="43">
        <f t="shared" si="504"/>
        <v>91.275839972437936</v>
      </c>
      <c r="BF549" s="41" t="str">
        <f t="shared" si="505"/>
        <v>-0.000754404381919882-0.0057870162145567i</v>
      </c>
      <c r="BG549" s="20">
        <f t="shared" si="506"/>
        <v>-44.677721541912845</v>
      </c>
      <c r="BH549" s="43">
        <f t="shared" si="507"/>
        <v>-97.427281993879802</v>
      </c>
      <c r="BI549" s="41" t="str">
        <f t="shared" si="460"/>
        <v>0.111070895885826+0.0181044408597567i</v>
      </c>
      <c r="BJ549" s="20">
        <f t="shared" si="508"/>
        <v>-18.974114478587765</v>
      </c>
      <c r="BK549" s="43">
        <f t="shared" si="461"/>
        <v>9.2577370281648239</v>
      </c>
      <c r="BL549">
        <f t="shared" si="509"/>
        <v>-44.677721541912845</v>
      </c>
      <c r="BM549" s="43">
        <f t="shared" si="510"/>
        <v>-97.427281993879802</v>
      </c>
    </row>
    <row r="550" spans="14:65" x14ac:dyDescent="0.25">
      <c r="N550" s="9">
        <v>32</v>
      </c>
      <c r="O550" s="34">
        <f t="shared" si="462"/>
        <v>2089296.1308540432</v>
      </c>
      <c r="P550" s="33" t="str">
        <f t="shared" si="463"/>
        <v>19.6196196196196</v>
      </c>
      <c r="Q550" s="4" t="str">
        <f t="shared" si="464"/>
        <v>1+3177.58822271213i</v>
      </c>
      <c r="R550" s="4">
        <f t="shared" si="476"/>
        <v>3177.58838006417</v>
      </c>
      <c r="S550" s="4">
        <f t="shared" si="477"/>
        <v>1.5704816227184404</v>
      </c>
      <c r="T550" s="4" t="str">
        <f t="shared" si="465"/>
        <v>1+49.3591546665021i</v>
      </c>
      <c r="U550" s="4">
        <f t="shared" si="478"/>
        <v>49.369283460383294</v>
      </c>
      <c r="V550" s="4">
        <f t="shared" si="479"/>
        <v>1.5505394317484817</v>
      </c>
      <c r="W550" t="str">
        <f t="shared" si="466"/>
        <v>1-28.7162635194079i</v>
      </c>
      <c r="X550" s="4">
        <f t="shared" si="480"/>
        <v>28.73366997993951</v>
      </c>
      <c r="Y550" s="4">
        <f t="shared" si="481"/>
        <v>-1.5359869210220849</v>
      </c>
      <c r="Z550" t="str">
        <f t="shared" si="467"/>
        <v>-3.36515832240168+19.222315172175i</v>
      </c>
      <c r="AA550" s="4">
        <f t="shared" si="482"/>
        <v>19.514653240917667</v>
      </c>
      <c r="AB550" s="4">
        <f t="shared" si="483"/>
        <v>1.744105248685522</v>
      </c>
      <c r="AC550" s="47" t="str">
        <f t="shared" si="484"/>
        <v>-0.443206225668475+0.0708159274598649i</v>
      </c>
      <c r="AD550" s="20">
        <f t="shared" si="485"/>
        <v>-6.958399416697862</v>
      </c>
      <c r="AE550" s="43">
        <f t="shared" si="486"/>
        <v>170.92195888502263</v>
      </c>
      <c r="AF550" t="str">
        <f t="shared" si="468"/>
        <v>72.2956529813786</v>
      </c>
      <c r="AG550" t="str">
        <f t="shared" si="469"/>
        <v>1+2591.35561999136i</v>
      </c>
      <c r="AH550">
        <f t="shared" si="487"/>
        <v>2591.3558129405556</v>
      </c>
      <c r="AI550">
        <f t="shared" si="488"/>
        <v>1.5704104284092617</v>
      </c>
      <c r="AJ550" t="str">
        <f t="shared" si="470"/>
        <v>1+49.3591546665021i</v>
      </c>
      <c r="AK550">
        <f t="shared" si="489"/>
        <v>49.369283460383294</v>
      </c>
      <c r="AL550">
        <f t="shared" si="490"/>
        <v>1.5505394317484817</v>
      </c>
      <c r="AM550" t="str">
        <f t="shared" si="471"/>
        <v>1-6.35529202148401i</v>
      </c>
      <c r="AN550">
        <f t="shared" si="491"/>
        <v>6.4334855776894617</v>
      </c>
      <c r="AO550">
        <f t="shared" si="492"/>
        <v>-1.4147267792374927</v>
      </c>
      <c r="AP550" s="41" t="str">
        <f t="shared" si="493"/>
        <v>1.20314300355723-8.77905327820313i</v>
      </c>
      <c r="AQ550">
        <f t="shared" si="494"/>
        <v>18.949765826420094</v>
      </c>
      <c r="AR550" s="43">
        <f t="shared" si="495"/>
        <v>-82.196397857825673</v>
      </c>
      <c r="AS550" t="str">
        <f t="shared" si="472"/>
        <v>-0.0000166666666666667</v>
      </c>
      <c r="AT550" t="str">
        <f t="shared" si="473"/>
        <v>0.0446332781558796i</v>
      </c>
      <c r="AU550">
        <f t="shared" si="496"/>
        <v>4.4633278155879599E-2</v>
      </c>
      <c r="AV550">
        <f t="shared" si="497"/>
        <v>1.5707963267948966</v>
      </c>
      <c r="AW550" t="str">
        <f t="shared" si="474"/>
        <v>1+44.5946680536687i</v>
      </c>
      <c r="AX550">
        <f t="shared" si="498"/>
        <v>44.605878747278361</v>
      </c>
      <c r="AY550">
        <f t="shared" si="499"/>
        <v>1.548375878808784</v>
      </c>
      <c r="AZ550" t="str">
        <f t="shared" si="475"/>
        <v>1+1516.21871382473i</v>
      </c>
      <c r="BA550">
        <f t="shared" si="500"/>
        <v>1516.2190435924217</v>
      </c>
      <c r="BB550">
        <f t="shared" si="501"/>
        <v>1.5701367914350659</v>
      </c>
      <c r="BC550" s="41" t="str">
        <f t="shared" si="502"/>
        <v>-0.000276186623494817+0.0126898642520153i</v>
      </c>
      <c r="BD550">
        <f t="shared" si="503"/>
        <v>-37.928803764882844</v>
      </c>
      <c r="BE550" s="43">
        <f t="shared" si="504"/>
        <v>91.246808451838902</v>
      </c>
      <c r="BF550" s="41" t="str">
        <f t="shared" si="505"/>
        <v>-0.00077623687536699-0.0056437852512758i</v>
      </c>
      <c r="BG550" s="20">
        <f t="shared" si="506"/>
        <v>-44.887203181580702</v>
      </c>
      <c r="BH550" s="43">
        <f t="shared" si="507"/>
        <v>-97.831232663138451</v>
      </c>
      <c r="BI550" s="41" t="str">
        <f t="shared" si="460"/>
        <v>0.111072702357874+0.0176923784732912i</v>
      </c>
      <c r="BJ550" s="20">
        <f t="shared" si="508"/>
        <v>-18.979037938462728</v>
      </c>
      <c r="BK550" s="43">
        <f t="shared" si="461"/>
        <v>9.0504105940131918</v>
      </c>
      <c r="BL550">
        <f t="shared" si="509"/>
        <v>-44.887203181580702</v>
      </c>
      <c r="BM550" s="43">
        <f t="shared" si="510"/>
        <v>-97.831232663138451</v>
      </c>
    </row>
    <row r="551" spans="14:65" x14ac:dyDescent="0.25">
      <c r="N551" s="9">
        <v>33</v>
      </c>
      <c r="O551" s="34">
        <f t="shared" si="462"/>
        <v>2137962.0895022359</v>
      </c>
      <c r="P551" s="33" t="str">
        <f t="shared" si="463"/>
        <v>19.6196196196196</v>
      </c>
      <c r="Q551" s="4" t="str">
        <f t="shared" si="464"/>
        <v>1+3251.60376065517i</v>
      </c>
      <c r="R551" s="4">
        <f t="shared" si="476"/>
        <v>3251.6039144254401</v>
      </c>
      <c r="S551" s="4">
        <f t="shared" si="477"/>
        <v>1.57048878625734</v>
      </c>
      <c r="T551" s="4" t="str">
        <f t="shared" si="465"/>
        <v>1+50.5088770751334i</v>
      </c>
      <c r="U551" s="4">
        <f t="shared" si="478"/>
        <v>50.518775355217549</v>
      </c>
      <c r="V551" s="4">
        <f t="shared" si="479"/>
        <v>1.5510004131175088</v>
      </c>
      <c r="W551" t="str">
        <f t="shared" si="466"/>
        <v>1-29.3851512238974i</v>
      </c>
      <c r="X551" s="4">
        <f t="shared" si="480"/>
        <v>29.402161696911314</v>
      </c>
      <c r="Y551" s="4">
        <f t="shared" si="481"/>
        <v>-1.5367786615879551</v>
      </c>
      <c r="Z551" t="str">
        <f t="shared" si="467"/>
        <v>-3.57088189614876+19.6700604110987i</v>
      </c>
      <c r="AA551" s="4">
        <f t="shared" si="482"/>
        <v>19.991560071503056</v>
      </c>
      <c r="AB551" s="4">
        <f t="shared" si="483"/>
        <v>1.7503795062139396</v>
      </c>
      <c r="AC551" s="47" t="str">
        <f t="shared" si="484"/>
        <v>-0.442217151114684+0.0736597770250261i</v>
      </c>
      <c r="AD551" s="20">
        <f t="shared" si="485"/>
        <v>-6.9684333014024595</v>
      </c>
      <c r="AE551" s="43">
        <f t="shared" si="486"/>
        <v>170.54310886250653</v>
      </c>
      <c r="AF551" t="str">
        <f t="shared" si="468"/>
        <v>72.2956529813786</v>
      </c>
      <c r="AG551" t="str">
        <f t="shared" si="469"/>
        <v>1+2651.7160464445i</v>
      </c>
      <c r="AH551">
        <f t="shared" si="487"/>
        <v>2651.7162350016361</v>
      </c>
      <c r="AI551">
        <f t="shared" si="488"/>
        <v>1.5704192125281049</v>
      </c>
      <c r="AJ551" t="str">
        <f t="shared" si="470"/>
        <v>1+50.5088770751334i</v>
      </c>
      <c r="AK551">
        <f t="shared" si="489"/>
        <v>50.518775355217549</v>
      </c>
      <c r="AL551">
        <f t="shared" si="490"/>
        <v>1.5510004131175088</v>
      </c>
      <c r="AM551" t="str">
        <f t="shared" si="471"/>
        <v>1-6.50332578948236i</v>
      </c>
      <c r="AN551">
        <f t="shared" si="491"/>
        <v>6.5797603546137111</v>
      </c>
      <c r="AO551">
        <f t="shared" si="492"/>
        <v>-1.4182238568499932</v>
      </c>
      <c r="AP551" s="41" t="str">
        <f t="shared" si="493"/>
        <v>1.2031425270672-8.9822801822018i</v>
      </c>
      <c r="AQ551">
        <f t="shared" si="494"/>
        <v>19.144960548211095</v>
      </c>
      <c r="AR551" s="43">
        <f t="shared" si="495"/>
        <v>-82.370856651708721</v>
      </c>
      <c r="AS551" t="str">
        <f t="shared" si="472"/>
        <v>-0.0000166666666666667</v>
      </c>
      <c r="AT551" t="str">
        <f t="shared" si="473"/>
        <v>0.0456729207594292i</v>
      </c>
      <c r="AU551">
        <f t="shared" si="496"/>
        <v>4.5672920759429199E-2</v>
      </c>
      <c r="AV551">
        <f t="shared" si="497"/>
        <v>1.5707963267948966</v>
      </c>
      <c r="AW551" t="str">
        <f t="shared" si="474"/>
        <v>1+45.6334113124055i</v>
      </c>
      <c r="AX551">
        <f t="shared" si="498"/>
        <v>45.644366881436518</v>
      </c>
      <c r="AY551">
        <f t="shared" si="499"/>
        <v>1.5488860652941598</v>
      </c>
      <c r="AZ551" t="str">
        <f t="shared" si="475"/>
        <v>1+1551.53598462178i</v>
      </c>
      <c r="BA551">
        <f t="shared" si="500"/>
        <v>1551.5363068830443</v>
      </c>
      <c r="BB551">
        <f t="shared" si="501"/>
        <v>1.5701518042885276</v>
      </c>
      <c r="BC551" s="41" t="str">
        <f t="shared" si="502"/>
        <v>-0.000263762144195291+0.0124012799431059i</v>
      </c>
      <c r="BD551">
        <f t="shared" si="503"/>
        <v>-38.12870560974217</v>
      </c>
      <c r="BE551" s="43">
        <f t="shared" si="504"/>
        <v>91.218437092604049</v>
      </c>
      <c r="BF551" s="41" t="str">
        <f t="shared" si="505"/>
        <v>-0.000796835371456167-0.00550348734734503i</v>
      </c>
      <c r="BG551" s="20">
        <f t="shared" si="506"/>
        <v>-45.097138911144626</v>
      </c>
      <c r="BH551" s="43">
        <f t="shared" si="507"/>
        <v>-98.238454044889423</v>
      </c>
      <c r="BI551" s="41" t="str">
        <f t="shared" si="460"/>
        <v>0.111074427614185+0.0172896927702366i</v>
      </c>
      <c r="BJ551" s="20">
        <f t="shared" si="508"/>
        <v>-18.983745061531078</v>
      </c>
      <c r="BK551" s="43">
        <f t="shared" si="461"/>
        <v>8.8475804408953191</v>
      </c>
      <c r="BL551">
        <f t="shared" si="509"/>
        <v>-45.097138911144626</v>
      </c>
      <c r="BM551" s="43">
        <f t="shared" si="510"/>
        <v>-98.238454044889423</v>
      </c>
    </row>
    <row r="552" spans="14:65" x14ac:dyDescent="0.25">
      <c r="N552" s="9">
        <v>34</v>
      </c>
      <c r="O552" s="34">
        <f t="shared" si="462"/>
        <v>2187761.6239495561</v>
      </c>
      <c r="P552" s="33" t="str">
        <f t="shared" si="463"/>
        <v>19.6196196196196</v>
      </c>
      <c r="Q552" s="4" t="str">
        <f t="shared" si="464"/>
        <v>1+3327.34334195219i</v>
      </c>
      <c r="R552" s="4">
        <f t="shared" si="476"/>
        <v>3327.3434922222214</v>
      </c>
      <c r="S552" s="4">
        <f t="shared" si="477"/>
        <v>1.5704957867342171</v>
      </c>
      <c r="T552" s="4" t="str">
        <f t="shared" si="465"/>
        <v>1+51.685379958954i</v>
      </c>
      <c r="U552" s="4">
        <f t="shared" si="478"/>
        <v>51.695052969326227</v>
      </c>
      <c r="V552" s="4">
        <f t="shared" si="479"/>
        <v>1.5514509094004589</v>
      </c>
      <c r="W552" t="str">
        <f t="shared" si="466"/>
        <v>1-30.0696193245245i</v>
      </c>
      <c r="X552" s="4">
        <f t="shared" si="480"/>
        <v>30.086242808330475</v>
      </c>
      <c r="Y552" s="4">
        <f t="shared" si="481"/>
        <v>-1.5375524211666523</v>
      </c>
      <c r="Z552" t="str">
        <f t="shared" si="467"/>
        <v>-3.78630092322638+20.1282349764164i</v>
      </c>
      <c r="AA552" s="4">
        <f t="shared" si="482"/>
        <v>20.481257723759484</v>
      </c>
      <c r="AB552" s="4">
        <f t="shared" si="483"/>
        <v>1.7567324697966265</v>
      </c>
      <c r="AC552" s="47" t="str">
        <f t="shared" si="484"/>
        <v>-0.441181274707692+0.0765209764975691i</v>
      </c>
      <c r="AD552" s="20">
        <f t="shared" si="485"/>
        <v>-6.9789347074701134</v>
      </c>
      <c r="AE552" s="43">
        <f t="shared" si="486"/>
        <v>170.16018814152082</v>
      </c>
      <c r="AF552" t="str">
        <f t="shared" si="468"/>
        <v>72.2956529813786</v>
      </c>
      <c r="AG552" t="str">
        <f t="shared" si="469"/>
        <v>1+2713.48244784509i</v>
      </c>
      <c r="AH552">
        <f t="shared" si="487"/>
        <v>2713.4826321101418</v>
      </c>
      <c r="AI552">
        <f t="shared" si="488"/>
        <v>1.570427796696048</v>
      </c>
      <c r="AJ552" t="str">
        <f t="shared" si="470"/>
        <v>1+51.685379958954i</v>
      </c>
      <c r="AK552">
        <f t="shared" si="489"/>
        <v>51.695052969326227</v>
      </c>
      <c r="AL552">
        <f t="shared" si="490"/>
        <v>1.5514509094004589</v>
      </c>
      <c r="AM552" t="str">
        <f t="shared" si="471"/>
        <v>1-6.654807706896i</v>
      </c>
      <c r="AN552">
        <f t="shared" si="491"/>
        <v>6.7295219455591635</v>
      </c>
      <c r="AO552">
        <f t="shared" si="492"/>
        <v>-1.4216449693114248</v>
      </c>
      <c r="AP552" s="41" t="str">
        <f t="shared" si="493"/>
        <v>1.20314207202275-9.19026961003141i</v>
      </c>
      <c r="AQ552">
        <f t="shared" si="494"/>
        <v>19.340366737651223</v>
      </c>
      <c r="AR552" s="43">
        <f t="shared" si="495"/>
        <v>-82.541552257882771</v>
      </c>
      <c r="AS552" t="str">
        <f t="shared" si="472"/>
        <v>-0.0000166666666666667</v>
      </c>
      <c r="AT552" t="str">
        <f t="shared" si="473"/>
        <v>0.0467367797501181i</v>
      </c>
      <c r="AU552">
        <f t="shared" si="496"/>
        <v>4.6736779750118099E-2</v>
      </c>
      <c r="AV552">
        <f t="shared" si="497"/>
        <v>1.5707963267948966</v>
      </c>
      <c r="AW552" t="str">
        <f t="shared" si="474"/>
        <v>1+46.6963500098499i</v>
      </c>
      <c r="AX552">
        <f t="shared" si="498"/>
        <v>46.707056257512193</v>
      </c>
      <c r="AY552">
        <f t="shared" si="499"/>
        <v>1.5493846495408108</v>
      </c>
      <c r="AZ552" t="str">
        <f t="shared" si="475"/>
        <v>1+1587.67590033489i</v>
      </c>
      <c r="BA552">
        <f t="shared" si="500"/>
        <v>1587.6762152605938</v>
      </c>
      <c r="BB552">
        <f t="shared" si="501"/>
        <v>1.5701664754080038</v>
      </c>
      <c r="BC552" s="41" t="str">
        <f t="shared" si="502"/>
        <v>-0.000251896333841232+0.0121192464536312i</v>
      </c>
      <c r="BD552">
        <f t="shared" si="503"/>
        <v>-38.328611870235953</v>
      </c>
      <c r="BE552" s="43">
        <f t="shared" si="504"/>
        <v>91.190710912765951</v>
      </c>
      <c r="BF552" s="41" t="str">
        <f t="shared" si="505"/>
        <v>-0.000816244627388292-0.00536605995235138i</v>
      </c>
      <c r="BG552" s="20">
        <f t="shared" si="506"/>
        <v>-45.307546577706063</v>
      </c>
      <c r="BH552" s="43">
        <f t="shared" si="507"/>
        <v>-98.649100945713215</v>
      </c>
      <c r="BI552" s="41" t="str">
        <f t="shared" si="460"/>
        <v>0.111076075302255+0.0168961705113556i</v>
      </c>
      <c r="BJ552" s="20">
        <f t="shared" si="508"/>
        <v>-18.988245132584744</v>
      </c>
      <c r="BK552" s="43">
        <f t="shared" si="461"/>
        <v>8.6491586548831894</v>
      </c>
      <c r="BL552">
        <f t="shared" si="509"/>
        <v>-45.307546577706063</v>
      </c>
      <c r="BM552" s="43">
        <f t="shared" si="510"/>
        <v>-98.649100945713215</v>
      </c>
    </row>
    <row r="553" spans="14:65" x14ac:dyDescent="0.25">
      <c r="N553" s="9">
        <v>35</v>
      </c>
      <c r="O553" s="34">
        <f t="shared" si="462"/>
        <v>2238721.1385683389</v>
      </c>
      <c r="P553" s="33" t="str">
        <f t="shared" si="463"/>
        <v>19.6196196196196</v>
      </c>
      <c r="Q553" s="4" t="str">
        <f t="shared" si="464"/>
        <v>1+3404.84712473168i</v>
      </c>
      <c r="R553" s="4">
        <f t="shared" si="476"/>
        <v>3404.8472715811481</v>
      </c>
      <c r="S553" s="4">
        <f t="shared" si="477"/>
        <v>1.5705026278608143</v>
      </c>
      <c r="T553" s="4" t="str">
        <f t="shared" si="465"/>
        <v>1+52.8892871153656i</v>
      </c>
      <c r="U553" s="4">
        <f t="shared" si="478"/>
        <v>52.898739980944512</v>
      </c>
      <c r="V553" s="4">
        <f t="shared" si="479"/>
        <v>1.5518911587245903</v>
      </c>
      <c r="W553" t="str">
        <f t="shared" si="466"/>
        <v>1-30.7700307353357i</v>
      </c>
      <c r="X553" s="4">
        <f t="shared" si="480"/>
        <v>30.786276024448028</v>
      </c>
      <c r="Y553" s="4">
        <f t="shared" si="481"/>
        <v>-1.5383086063076057</v>
      </c>
      <c r="Z553" t="str">
        <f t="shared" si="467"/>
        <v>-4.01187233627269+20.5970817983472i</v>
      </c>
      <c r="AA553" s="4">
        <f t="shared" si="482"/>
        <v>20.984158268807345</v>
      </c>
      <c r="AB553" s="4">
        <f t="shared" si="483"/>
        <v>1.7631663796088433</v>
      </c>
      <c r="AC553" s="47" t="str">
        <f t="shared" si="484"/>
        <v>-0.440097103012157+0.0793996264092629i</v>
      </c>
      <c r="AD553" s="20">
        <f t="shared" si="485"/>
        <v>-6.9899223914619348</v>
      </c>
      <c r="AE553" s="43">
        <f t="shared" si="486"/>
        <v>169.77305850693094</v>
      </c>
      <c r="AF553" t="str">
        <f t="shared" si="468"/>
        <v>72.2956529813786</v>
      </c>
      <c r="AG553" t="str">
        <f t="shared" si="469"/>
        <v>1+2776.68757355669i</v>
      </c>
      <c r="AH553">
        <f t="shared" si="487"/>
        <v>2776.6877536273573</v>
      </c>
      <c r="AI553">
        <f t="shared" si="488"/>
        <v>1.5704361854645255</v>
      </c>
      <c r="AJ553" t="str">
        <f t="shared" si="470"/>
        <v>1+52.8892871153656i</v>
      </c>
      <c r="AK553">
        <f t="shared" si="489"/>
        <v>52.898739980944512</v>
      </c>
      <c r="AL553">
        <f t="shared" si="490"/>
        <v>1.5518911587245903</v>
      </c>
      <c r="AM553" t="str">
        <f t="shared" si="471"/>
        <v>1-6.8098180914426i</v>
      </c>
      <c r="AN553">
        <f t="shared" si="491"/>
        <v>6.8828498776697824</v>
      </c>
      <c r="AO553">
        <f t="shared" si="492"/>
        <v>-1.4249916100497428</v>
      </c>
      <c r="AP553" s="41" t="str">
        <f t="shared" si="493"/>
        <v>1.20314163745868-9.40313184044081i</v>
      </c>
      <c r="AQ553">
        <f>20*LOG(IMABS(AP553))</f>
        <v>19.535975290829981</v>
      </c>
      <c r="AR553" s="43">
        <f t="shared" si="495"/>
        <v>-82.708556860557806</v>
      </c>
      <c r="AS553" t="str">
        <f t="shared" si="472"/>
        <v>-0.0000166666666666667</v>
      </c>
      <c r="AT553" t="str">
        <f t="shared" si="473"/>
        <v>0.0478254192000648i</v>
      </c>
      <c r="AU553">
        <f t="shared" si="496"/>
        <v>4.7825419200064799E-2</v>
      </c>
      <c r="AV553">
        <f t="shared" si="497"/>
        <v>1.5707963267948966</v>
      </c>
      <c r="AW553" t="str">
        <f t="shared" si="474"/>
        <v>1+47.7840477301685i</v>
      </c>
      <c r="AX553">
        <f t="shared" si="498"/>
        <v>47.794510327850645</v>
      </c>
      <c r="AY553">
        <f t="shared" si="499"/>
        <v>1.549871894912606</v>
      </c>
      <c r="AZ553" t="str">
        <f t="shared" si="475"/>
        <v>1+1624.65762282573i</v>
      </c>
      <c r="BA553">
        <f t="shared" si="500"/>
        <v>1624.6579305828509</v>
      </c>
      <c r="BB553">
        <f t="shared" si="501"/>
        <v>1.5701808125722909</v>
      </c>
      <c r="BC553" s="41" t="str">
        <f t="shared" si="502"/>
        <v>-0.000240564094328342+0.0118436158797113i</v>
      </c>
      <c r="BD553">
        <f t="shared" si="503"/>
        <v>-38.528522347810465</v>
      </c>
      <c r="BE553" s="43">
        <f t="shared" si="504"/>
        <v>91.163615268378649</v>
      </c>
      <c r="BF553" s="41" t="str">
        <f t="shared" si="505"/>
        <v>-0.000834507115181244-0.00523144173706688i</v>
      </c>
      <c r="BG553" s="20">
        <f t="shared" si="506"/>
        <v>-45.51844473927239</v>
      </c>
      <c r="BH553" s="43">
        <f t="shared" si="507"/>
        <v>-99.063326224690385</v>
      </c>
      <c r="BI553" s="41" t="str">
        <f t="shared" si="460"/>
        <v>0.1110776489061+0.0165116032979931i</v>
      </c>
      <c r="BJ553" s="20">
        <f t="shared" si="508"/>
        <v>-18.992547056980467</v>
      </c>
      <c r="BK553" s="43">
        <f t="shared" si="461"/>
        <v>8.4550584078208253</v>
      </c>
      <c r="BL553">
        <f t="shared" si="509"/>
        <v>-45.51844473927239</v>
      </c>
      <c r="BM553" s="43">
        <f t="shared" si="510"/>
        <v>-99.063326224690385</v>
      </c>
    </row>
    <row r="554" spans="14:65" x14ac:dyDescent="0.25">
      <c r="N554" s="9">
        <v>36</v>
      </c>
      <c r="O554" s="34">
        <f t="shared" si="462"/>
        <v>2290867.6527677765</v>
      </c>
      <c r="P554" s="33" t="str">
        <f t="shared" si="463"/>
        <v>19.6196196196196</v>
      </c>
      <c r="Q554" s="4" t="str">
        <f t="shared" si="464"/>
        <v>1+3484.15620252523i</v>
      </c>
      <c r="R554" s="4">
        <f t="shared" si="476"/>
        <v>3484.1563460319962</v>
      </c>
      <c r="S554" s="4">
        <f t="shared" si="477"/>
        <v>1.5705093132643848</v>
      </c>
      <c r="T554" s="4" t="str">
        <f t="shared" si="465"/>
        <v>1+54.1212368718787i</v>
      </c>
      <c r="U554" s="4">
        <f t="shared" si="478"/>
        <v>54.130474601115431</v>
      </c>
      <c r="V554" s="4">
        <f t="shared" si="479"/>
        <v>1.5523213938328992</v>
      </c>
      <c r="W554" t="str">
        <f t="shared" si="466"/>
        <v>1-31.4867568237327i</v>
      </c>
      <c r="X554" s="4">
        <f t="shared" si="480"/>
        <v>31.502632513440489</v>
      </c>
      <c r="Y554" s="4">
        <f t="shared" si="481"/>
        <v>-1.5390476144890195</v>
      </c>
      <c r="Z554" t="str">
        <f t="shared" si="467"/>
        <v>-4.24807460249776+21.0768494656823i</v>
      </c>
      <c r="AA554" s="4">
        <f t="shared" si="482"/>
        <v>21.500691180225317</v>
      </c>
      <c r="AB554" s="4">
        <f t="shared" si="483"/>
        <v>1.7696834488288089</v>
      </c>
      <c r="AC554" s="47" t="str">
        <f t="shared" si="484"/>
        <v>-0.438963100622743+0.0822957569981504i</v>
      </c>
      <c r="AD554" s="20">
        <f t="shared" si="485"/>
        <v>-7.0014158265410398</v>
      </c>
      <c r="AE554" s="43">
        <f t="shared" si="486"/>
        <v>169.38158350650718</v>
      </c>
      <c r="AF554" t="str">
        <f t="shared" si="468"/>
        <v>72.2956529813786</v>
      </c>
      <c r="AG554" t="str">
        <f t="shared" si="469"/>
        <v>1+2841.36493577363i</v>
      </c>
      <c r="AH554">
        <f t="shared" si="487"/>
        <v>2841.3651117453883</v>
      </c>
      <c r="AI554">
        <f t="shared" si="488"/>
        <v>1.5704443832813684</v>
      </c>
      <c r="AJ554" t="str">
        <f t="shared" si="470"/>
        <v>1+54.1212368718787i</v>
      </c>
      <c r="AK554">
        <f t="shared" si="489"/>
        <v>54.130474601115431</v>
      </c>
      <c r="AL554">
        <f t="shared" si="490"/>
        <v>1.5523213938328992</v>
      </c>
      <c r="AM554" t="str">
        <f t="shared" si="471"/>
        <v>1-6.96843913167996i</v>
      </c>
      <c r="AN554">
        <f t="shared" si="491"/>
        <v>7.0398255611860554</v>
      </c>
      <c r="AO554">
        <f t="shared" si="492"/>
        <v>-1.4282652534835807</v>
      </c>
      <c r="AP554" s="41" t="str">
        <f t="shared" si="493"/>
        <v>1.2031412224532-9.62097973580309i</v>
      </c>
      <c r="AQ554">
        <f t="shared" si="494"/>
        <v>19.731777478332784</v>
      </c>
      <c r="AR554" s="43">
        <f t="shared" si="495"/>
        <v>-82.871941857349285</v>
      </c>
      <c r="AS554" t="str">
        <f t="shared" si="472"/>
        <v>-0.0000166666666666667</v>
      </c>
      <c r="AT554" t="str">
        <f t="shared" si="473"/>
        <v>0.0489394163203158i</v>
      </c>
      <c r="AU554">
        <f t="shared" si="496"/>
        <v>4.8939416320315801E-2</v>
      </c>
      <c r="AV554">
        <f t="shared" si="497"/>
        <v>1.5707963267948966</v>
      </c>
      <c r="AW554" t="str">
        <f t="shared" si="474"/>
        <v>1+48.8970811850908i</v>
      </c>
      <c r="AX554">
        <f t="shared" si="498"/>
        <v>48.907305675342215</v>
      </c>
      <c r="AY554">
        <f t="shared" si="499"/>
        <v>1.5503480588275531</v>
      </c>
      <c r="AZ554" t="str">
        <f t="shared" si="475"/>
        <v>1+1662.50076029308i</v>
      </c>
      <c r="BA554">
        <f t="shared" si="500"/>
        <v>1662.5010610447948</v>
      </c>
      <c r="BB554">
        <f t="shared" si="501"/>
        <v>1.5701948233831198</v>
      </c>
      <c r="BC554" s="41" t="str">
        <f t="shared" si="502"/>
        <v>-0.000229741453097242+0.0115742436034751i</v>
      </c>
      <c r="BD554">
        <f t="shared" si="503"/>
        <v>-38.72843685283221</v>
      </c>
      <c r="BE554" s="43">
        <f t="shared" si="504"/>
        <v>91.13713584602381</v>
      </c>
      <c r="BF554" s="41" t="str">
        <f t="shared" si="505"/>
        <v>-0.000851663118435843-0.00509957260634087i</v>
      </c>
      <c r="BG554" s="20">
        <f t="shared" si="506"/>
        <v>-45.729852679373259</v>
      </c>
      <c r="BH554" s="43">
        <f t="shared" si="507"/>
        <v>-99.481280647469021</v>
      </c>
      <c r="BI554" s="41" t="str">
        <f t="shared" si="460"/>
        <v>0.111079151753555+0.0161357874627787i</v>
      </c>
      <c r="BJ554" s="20">
        <f t="shared" si="508"/>
        <v>-18.996659374499423</v>
      </c>
      <c r="BK554" s="43">
        <f t="shared" si="461"/>
        <v>8.2651939886745289</v>
      </c>
      <c r="BL554">
        <f t="shared" si="509"/>
        <v>-45.729852679373259</v>
      </c>
      <c r="BM554" s="43">
        <f t="shared" si="510"/>
        <v>-99.481280647469021</v>
      </c>
    </row>
    <row r="555" spans="14:65" x14ac:dyDescent="0.25">
      <c r="N555" s="9">
        <v>37</v>
      </c>
      <c r="O555" s="34">
        <f t="shared" si="462"/>
        <v>2344228.8153199251</v>
      </c>
      <c r="P555" s="33" t="str">
        <f t="shared" si="463"/>
        <v>19.6196196196196</v>
      </c>
      <c r="Q555" s="4" t="str">
        <f t="shared" si="464"/>
        <v>1+3565.31262605559i</v>
      </c>
      <c r="R555" s="4">
        <f t="shared" si="476"/>
        <v>3565.312766295744</v>
      </c>
      <c r="S555" s="4">
        <f t="shared" si="477"/>
        <v>1.5705158464896161</v>
      </c>
      <c r="T555" s="4" t="str">
        <f t="shared" si="465"/>
        <v>1+55.3818824245603i</v>
      </c>
      <c r="U555" s="4">
        <f t="shared" si="478"/>
        <v>55.390909912076921</v>
      </c>
      <c r="V555" s="4">
        <f t="shared" si="479"/>
        <v>1.5527418422042696</v>
      </c>
      <c r="W555" t="str">
        <f t="shared" si="466"/>
        <v>1-32.2201776073739i</v>
      </c>
      <c r="X555" s="4">
        <f t="shared" si="480"/>
        <v>32.235692098211864</v>
      </c>
      <c r="Y555" s="4">
        <f t="shared" si="481"/>
        <v>-1.5397698343121922</v>
      </c>
      <c r="Z555" t="str">
        <f t="shared" si="467"/>
        <v>-4.49540873857628+21.567792357589i</v>
      </c>
      <c r="AA555" s="4">
        <f t="shared" si="482"/>
        <v>22.031304248885093</v>
      </c>
      <c r="AB555" s="4">
        <f t="shared" si="483"/>
        <v>1.7762858606902407</v>
      </c>
      <c r="AC555" s="47" t="str">
        <f t="shared" si="484"/>
        <v>-0.437777691674242+0.0852093244046362i</v>
      </c>
      <c r="AD555" s="20">
        <f t="shared" si="485"/>
        <v>-7.0134352170467622</v>
      </c>
      <c r="AE555" s="43">
        <f t="shared" si="486"/>
        <v>168.98562861544181</v>
      </c>
      <c r="AF555" t="str">
        <f t="shared" si="468"/>
        <v>72.2956529813786</v>
      </c>
      <c r="AG555" t="str">
        <f t="shared" si="469"/>
        <v>1+2907.54882728942i</v>
      </c>
      <c r="AH555">
        <f t="shared" si="487"/>
        <v>2907.5489992555727</v>
      </c>
      <c r="AI555">
        <f t="shared" si="488"/>
        <v>1.5704523944931639</v>
      </c>
      <c r="AJ555" t="str">
        <f t="shared" si="470"/>
        <v>1+55.3818824245603i</v>
      </c>
      <c r="AK555">
        <f t="shared" si="489"/>
        <v>55.390909912076921</v>
      </c>
      <c r="AL555">
        <f t="shared" si="490"/>
        <v>1.5527418422042696</v>
      </c>
      <c r="AM555" t="str">
        <f t="shared" si="471"/>
        <v>1-7.13075493058309i</v>
      </c>
      <c r="AN555">
        <f t="shared" si="491"/>
        <v>7.2005323331011475</v>
      </c>
      <c r="AO555">
        <f t="shared" si="492"/>
        <v>-1.4314673545335082</v>
      </c>
      <c r="AP555" s="41" t="str">
        <f t="shared" si="493"/>
        <v>1.20314082612604-9.84392880195685i</v>
      </c>
      <c r="AQ555">
        <f t="shared" si="494"/>
        <v>19.927764931342519</v>
      </c>
      <c r="AR555" s="43">
        <f t="shared" si="495"/>
        <v>-83.031777824526529</v>
      </c>
      <c r="AS555" t="str">
        <f t="shared" si="472"/>
        <v>-0.0000166666666666667</v>
      </c>
      <c r="AT555" t="str">
        <f t="shared" si="473"/>
        <v>0.0500793617668895i</v>
      </c>
      <c r="AU555">
        <f t="shared" si="496"/>
        <v>5.0079361766889499E-2</v>
      </c>
      <c r="AV555">
        <f t="shared" si="497"/>
        <v>1.5707963267948966</v>
      </c>
      <c r="AW555" t="str">
        <f t="shared" si="474"/>
        <v>1+50.0360405196866i</v>
      </c>
      <c r="AX555">
        <f t="shared" si="498"/>
        <v>50.046032319133147</v>
      </c>
      <c r="AY555">
        <f t="shared" si="499"/>
        <v>1.5508133928898737</v>
      </c>
      <c r="AZ555" t="str">
        <f t="shared" si="475"/>
        <v>1+1701.22537766934i</v>
      </c>
      <c r="BA555">
        <f t="shared" si="500"/>
        <v>1701.2256715751114</v>
      </c>
      <c r="BB555">
        <f t="shared" si="501"/>
        <v>1.5702085152691858</v>
      </c>
      <c r="BC555" s="41" t="str">
        <f t="shared" si="502"/>
        <v>-0.000219405512831999+0.0113109882236331i</v>
      </c>
      <c r="BD555">
        <f t="shared" si="503"/>
        <v>-38.92835520418798</v>
      </c>
      <c r="BE555" s="43">
        <f t="shared" si="504"/>
        <v>91.111258655474316</v>
      </c>
      <c r="BF555" s="41" t="str">
        <f t="shared" si="505"/>
        <v>-0.000867750825936377-0.0049703937106157i</v>
      </c>
      <c r="BG555" s="20">
        <f t="shared" si="506"/>
        <v>-45.941790421234742</v>
      </c>
      <c r="BH555" s="43">
        <f t="shared" si="507"/>
        <v>-99.903112729083873</v>
      </c>
      <c r="BI555" s="41" t="str">
        <f t="shared" si="460"/>
        <v>0.111080587023251+0.0157685239627589i</v>
      </c>
      <c r="BJ555" s="20">
        <f t="shared" si="508"/>
        <v>-19.000590272845482</v>
      </c>
      <c r="BK555" s="43">
        <f t="shared" si="461"/>
        <v>8.0794808309478334</v>
      </c>
      <c r="BL555">
        <f t="shared" si="509"/>
        <v>-45.941790421234742</v>
      </c>
      <c r="BM555" s="43">
        <f t="shared" si="510"/>
        <v>-99.903112729083873</v>
      </c>
    </row>
    <row r="556" spans="14:65" x14ac:dyDescent="0.25">
      <c r="N556" s="9">
        <v>38</v>
      </c>
      <c r="O556" s="34">
        <f t="shared" si="462"/>
        <v>2398832.9190194933</v>
      </c>
      <c r="P556" s="33" t="str">
        <f t="shared" si="463"/>
        <v>19.6196196196196</v>
      </c>
      <c r="Q556" s="4" t="str">
        <f t="shared" si="464"/>
        <v>1+3648.35942553277i</v>
      </c>
      <c r="R556" s="4">
        <f t="shared" si="476"/>
        <v>3648.3595625806679</v>
      </c>
      <c r="S556" s="4">
        <f t="shared" si="477"/>
        <v>1.5705222310005078</v>
      </c>
      <c r="T556" s="4" t="str">
        <f t="shared" si="465"/>
        <v>1+56.671892184369i</v>
      </c>
      <c r="U556" s="4">
        <f t="shared" si="478"/>
        <v>56.68071421353779</v>
      </c>
      <c r="V556" s="4">
        <f t="shared" si="479"/>
        <v>1.5531527261710478</v>
      </c>
      <c r="W556" t="str">
        <f t="shared" si="466"/>
        <v>1-32.9706819556669i</v>
      </c>
      <c r="X556" s="4">
        <f t="shared" si="480"/>
        <v>32.985843457788654</v>
      </c>
      <c r="Y556" s="4">
        <f t="shared" si="481"/>
        <v>-1.5404756456922231</v>
      </c>
      <c r="Z556" t="str">
        <f t="shared" si="467"/>
        <v>-4.75439937337157+22.0701707784872i</v>
      </c>
      <c r="AA556" s="4">
        <f t="shared" si="482"/>
        <v>22.576464550347698</v>
      </c>
      <c r="AB556" s="4">
        <f t="shared" si="483"/>
        <v>1.7829757653370035</v>
      </c>
      <c r="AC556" s="47" t="str">
        <f t="shared" si="484"/>
        <v>-0.436539261595683+0.0881402067657914i</v>
      </c>
      <c r="AD556" s="20">
        <f t="shared" si="485"/>
        <v>-7.0260015125032211</v>
      </c>
      <c r="AE556" s="43">
        <f t="shared" si="486"/>
        <v>168.58506141226692</v>
      </c>
      <c r="AF556" t="str">
        <f t="shared" si="468"/>
        <v>72.2956529813786</v>
      </c>
      <c r="AG556" t="str">
        <f t="shared" si="469"/>
        <v>1+2975.27433967938i</v>
      </c>
      <c r="AH556">
        <f t="shared" si="487"/>
        <v>2975.2745077311047</v>
      </c>
      <c r="AI556">
        <f t="shared" si="488"/>
        <v>1.5704602233475577</v>
      </c>
      <c r="AJ556" t="str">
        <f t="shared" si="470"/>
        <v>1+56.671892184369i</v>
      </c>
      <c r="AK556">
        <f t="shared" si="489"/>
        <v>56.68071421353779</v>
      </c>
      <c r="AL556">
        <f t="shared" si="490"/>
        <v>1.5531527261710478</v>
      </c>
      <c r="AM556" t="str">
        <f t="shared" si="471"/>
        <v>1-7.29685155013709i</v>
      </c>
      <c r="AN556">
        <f t="shared" si="491"/>
        <v>7.3650555018097474</v>
      </c>
      <c r="AO556">
        <f t="shared" si="492"/>
        <v>-1.4345993481977721</v>
      </c>
      <c r="AP556" s="41" t="str">
        <f t="shared" si="493"/>
        <v>1.20314044763654-10.0720972494489i</v>
      </c>
      <c r="AQ556">
        <f t="shared" si="494"/>
        <v>20.12392962812438</v>
      </c>
      <c r="AR556" s="43">
        <f t="shared" si="495"/>
        <v>-83.18813448609977</v>
      </c>
      <c r="AS556" t="str">
        <f t="shared" si="472"/>
        <v>-0.0000166666666666667</v>
      </c>
      <c r="AT556" t="str">
        <f t="shared" si="473"/>
        <v>0.0512458599539508i</v>
      </c>
      <c r="AU556">
        <f t="shared" si="496"/>
        <v>5.1245859953950798E-2</v>
      </c>
      <c r="AV556">
        <f t="shared" si="497"/>
        <v>1.5707963267948966</v>
      </c>
      <c r="AW556" t="str">
        <f t="shared" si="474"/>
        <v>1+51.201529625271i</v>
      </c>
      <c r="AX556">
        <f t="shared" si="498"/>
        <v>51.211294027465307</v>
      </c>
      <c r="AY556">
        <f t="shared" si="499"/>
        <v>1.5512681430192932</v>
      </c>
      <c r="AZ556" t="str">
        <f t="shared" si="475"/>
        <v>1+1740.85200725921i</v>
      </c>
      <c r="BA556">
        <f t="shared" si="500"/>
        <v>1740.8522944748704</v>
      </c>
      <c r="BB556">
        <f t="shared" si="501"/>
        <v>1.5702218954900875</v>
      </c>
      <c r="BC556" s="41" t="str">
        <f t="shared" si="502"/>
        <v>-0.000209534403391227+0.0110537114872737i</v>
      </c>
      <c r="BD556">
        <f t="shared" si="503"/>
        <v>-39.128277228902597</v>
      </c>
      <c r="BE556" s="43">
        <f t="shared" si="504"/>
        <v>91.085970022512171</v>
      </c>
      <c r="BF556" s="41" t="str">
        <f t="shared" si="505"/>
        <v>-0.000882806422282409-0.00484384745618563i</v>
      </c>
      <c r="BG556" s="20">
        <f t="shared" si="506"/>
        <v>-46.154278741405818</v>
      </c>
      <c r="BH556" s="43">
        <f t="shared" si="507"/>
        <v>-100.3289685652209</v>
      </c>
      <c r="BI556" s="41" t="str">
        <f t="shared" si="460"/>
        <v>0.11108195775128+0.0154096182749053i</v>
      </c>
      <c r="BJ556" s="20">
        <f t="shared" si="508"/>
        <v>-19.0043476007782</v>
      </c>
      <c r="BK556" s="43">
        <f t="shared" si="461"/>
        <v>7.8978355364123711</v>
      </c>
      <c r="BL556">
        <f t="shared" si="509"/>
        <v>-46.154278741405818</v>
      </c>
      <c r="BM556" s="43">
        <f t="shared" si="510"/>
        <v>-100.3289685652209</v>
      </c>
    </row>
    <row r="557" spans="14:65" x14ac:dyDescent="0.25">
      <c r="N557" s="9">
        <v>39</v>
      </c>
      <c r="O557" s="34">
        <f t="shared" si="462"/>
        <v>2454708.915685033</v>
      </c>
      <c r="P557" s="33" t="str">
        <f t="shared" si="463"/>
        <v>19.6196196196196</v>
      </c>
      <c r="Q557" s="4" t="str">
        <f t="shared" si="464"/>
        <v>1+3733.34063346912i</v>
      </c>
      <c r="R557" s="4">
        <f t="shared" si="476"/>
        <v>3733.3407673974275</v>
      </c>
      <c r="S557" s="4">
        <f t="shared" si="477"/>
        <v>1.5705284701822106</v>
      </c>
      <c r="T557" s="4" t="str">
        <f t="shared" si="465"/>
        <v>1+57.9919501315551i</v>
      </c>
      <c r="U557" s="4">
        <f t="shared" si="478"/>
        <v>58.000571377019838</v>
      </c>
      <c r="V557" s="4">
        <f t="shared" si="479"/>
        <v>1.5535542630340917</v>
      </c>
      <c r="W557" t="str">
        <f t="shared" si="466"/>
        <v>1-33.7386677959514i</v>
      </c>
      <c r="X557" s="4">
        <f t="shared" si="480"/>
        <v>33.753484333407243</v>
      </c>
      <c r="Y557" s="4">
        <f t="shared" si="481"/>
        <v>-1.5411654200451286</v>
      </c>
      <c r="Z557" t="str">
        <f t="shared" si="467"/>
        <v>-5.02559586074355+22.5842510960654i</v>
      </c>
      <c r="AA557" s="4">
        <f t="shared" si="482"/>
        <v>23.136659467729</v>
      </c>
      <c r="AB557" s="4">
        <f t="shared" si="483"/>
        <v>1.789755276474891</v>
      </c>
      <c r="AC557" s="47" t="str">
        <f t="shared" si="484"/>
        <v>-0.435246159127899+0.0910882002178046i</v>
      </c>
      <c r="AD557" s="20">
        <f t="shared" si="485"/>
        <v>-7.039136420947095</v>
      </c>
      <c r="AE557" s="43">
        <f t="shared" si="486"/>
        <v>168.17975176645839</v>
      </c>
      <c r="AF557" t="str">
        <f t="shared" si="468"/>
        <v>72.2956529813786</v>
      </c>
      <c r="AG557" t="str">
        <f t="shared" si="469"/>
        <v>1+3044.57738190665i</v>
      </c>
      <c r="AH557">
        <f t="shared" si="487"/>
        <v>3044.5775461330509</v>
      </c>
      <c r="AI557">
        <f t="shared" si="488"/>
        <v>1.5704678739955089</v>
      </c>
      <c r="AJ557" t="str">
        <f t="shared" si="470"/>
        <v>1+57.9919501315551i</v>
      </c>
      <c r="AK557">
        <f t="shared" si="489"/>
        <v>58.000571377019838</v>
      </c>
      <c r="AL557">
        <f t="shared" si="490"/>
        <v>1.5535542630340917</v>
      </c>
      <c r="AM557" t="str">
        <f t="shared" si="471"/>
        <v>1-7.46681705696823i</v>
      </c>
      <c r="AN557">
        <f t="shared" si="491"/>
        <v>7.5334823927737231</v>
      </c>
      <c r="AO557">
        <f t="shared" si="492"/>
        <v>-1.4376626491882978</v>
      </c>
      <c r="AP557" s="41" t="str">
        <f t="shared" si="493"/>
        <v>1.20314008618186-10.3056060562111i</v>
      </c>
      <c r="AQ557">
        <f t="shared" si="494"/>
        <v>20.320263880896007</v>
      </c>
      <c r="AR557" s="43">
        <f t="shared" si="495"/>
        <v>-83.341080686501954</v>
      </c>
      <c r="AS557" t="str">
        <f t="shared" si="472"/>
        <v>-0.0000166666666666667</v>
      </c>
      <c r="AT557" t="str">
        <f t="shared" si="473"/>
        <v>0.0524395293742788i</v>
      </c>
      <c r="AU557">
        <f t="shared" si="496"/>
        <v>5.2439529374278801E-2</v>
      </c>
      <c r="AV557">
        <f t="shared" si="497"/>
        <v>1.5707963267948966</v>
      </c>
      <c r="AW557" t="str">
        <f t="shared" si="474"/>
        <v>1+52.3941664595951i</v>
      </c>
      <c r="AX557">
        <f t="shared" si="498"/>
        <v>52.403708637803099</v>
      </c>
      <c r="AY557">
        <f t="shared" si="499"/>
        <v>1.5517125495775879</v>
      </c>
      <c r="AZ557" t="str">
        <f t="shared" si="475"/>
        <v>1+1781.40165962623i</v>
      </c>
      <c r="BA557">
        <f t="shared" si="500"/>
        <v>1781.4019403040647</v>
      </c>
      <c r="BB557">
        <f t="shared" si="501"/>
        <v>1.570234971140176</v>
      </c>
      <c r="BC557" s="41" t="str">
        <f t="shared" si="502"/>
        <v>-0.000200107235874149+0.0108022782228786i</v>
      </c>
      <c r="BD557">
        <f t="shared" si="503"/>
        <v>-39.328202761773937</v>
      </c>
      <c r="BE557" s="43">
        <f t="shared" si="504"/>
        <v>91.061256581898391</v>
      </c>
      <c r="BF557" s="41" t="str">
        <f t="shared" si="505"/>
        <v>-0.000896864175746072-0.00471987751430519i</v>
      </c>
      <c r="BG557" s="20">
        <f t="shared" si="506"/>
        <v>-46.367339182721032</v>
      </c>
      <c r="BH557" s="43">
        <f t="shared" si="507"/>
        <v>-100.75899165164321</v>
      </c>
      <c r="BI557" s="41" t="str">
        <f t="shared" si="460"/>
        <v>0.11108326683756+0.0150588802939509i</v>
      </c>
      <c r="BJ557" s="20">
        <f t="shared" si="508"/>
        <v>-19.007938880877909</v>
      </c>
      <c r="BK557" s="43">
        <f t="shared" si="461"/>
        <v>7.7201758953964443</v>
      </c>
      <c r="BL557">
        <f t="shared" si="509"/>
        <v>-46.367339182721032</v>
      </c>
      <c r="BM557" s="43">
        <f t="shared" si="510"/>
        <v>-100.75899165164321</v>
      </c>
    </row>
    <row r="558" spans="14:65" x14ac:dyDescent="0.25">
      <c r="N558" s="9">
        <v>40</v>
      </c>
      <c r="O558" s="34">
        <f t="shared" si="462"/>
        <v>2511886.431509587</v>
      </c>
      <c r="P558" s="33" t="str">
        <f t="shared" si="463"/>
        <v>19.6196196196196</v>
      </c>
      <c r="Q558" s="4" t="str">
        <f t="shared" si="464"/>
        <v>1+3820.30130802595i</v>
      </c>
      <c r="R558" s="4">
        <f t="shared" si="476"/>
        <v>3820.3014389056766</v>
      </c>
      <c r="S558" s="4">
        <f t="shared" si="477"/>
        <v>1.5705345673428188</v>
      </c>
      <c r="T558" s="4" t="str">
        <f t="shared" si="465"/>
        <v>1+59.3427561783156i</v>
      </c>
      <c r="U558" s="4">
        <f t="shared" si="478"/>
        <v>59.351181208456282</v>
      </c>
      <c r="V558" s="4">
        <f t="shared" si="479"/>
        <v>1.5539466651753397</v>
      </c>
      <c r="W558" t="str">
        <f t="shared" si="466"/>
        <v>1-34.5245423244855i</v>
      </c>
      <c r="X558" s="4">
        <f t="shared" si="480"/>
        <v>34.539021739406444</v>
      </c>
      <c r="Y558" s="4">
        <f t="shared" si="481"/>
        <v>-1.5418395204714042</v>
      </c>
      <c r="Z558" t="str">
        <f t="shared" si="467"/>
        <v>-5.30957344480195+23.1103058825127i</v>
      </c>
      <c r="AA558" s="4">
        <f t="shared" si="482"/>
        <v>23.712397773085861</v>
      </c>
      <c r="AB558" s="4">
        <f t="shared" si="483"/>
        <v>1.7966264678161743</v>
      </c>
      <c r="AC558" s="47" t="str">
        <f t="shared" si="484"/>
        <v>-0.433896698624253+0.0940530148184444i</v>
      </c>
      <c r="AD558" s="20">
        <f t="shared" si="485"/>
        <v>-7.0528624214540114</v>
      </c>
      <c r="AE558" s="43">
        <f t="shared" si="486"/>
        <v>167.76957203797798</v>
      </c>
      <c r="AF558" t="str">
        <f t="shared" si="468"/>
        <v>72.2956529813786</v>
      </c>
      <c r="AG558" t="str">
        <f t="shared" si="469"/>
        <v>1+3115.49469936157i</v>
      </c>
      <c r="AH558">
        <f t="shared" si="487"/>
        <v>3115.4948598497222</v>
      </c>
      <c r="AI558">
        <f t="shared" si="488"/>
        <v>1.5704753504934883</v>
      </c>
      <c r="AJ558" t="str">
        <f t="shared" si="470"/>
        <v>1+59.3427561783156i</v>
      </c>
      <c r="AK558">
        <f t="shared" si="489"/>
        <v>59.351181208456282</v>
      </c>
      <c r="AL558">
        <f t="shared" si="490"/>
        <v>1.5539466651753397</v>
      </c>
      <c r="AM558" t="str">
        <f t="shared" si="471"/>
        <v>1-7.64074156903802i</v>
      </c>
      <c r="AN558">
        <f t="shared" si="491"/>
        <v>7.7059023952309174</v>
      </c>
      <c r="AO558">
        <f t="shared" si="492"/>
        <v>-1.4406586516229543</v>
      </c>
      <c r="AP558" s="41" t="str">
        <f t="shared" si="493"/>
        <v>1.20313974099533-10.5445790317045i</v>
      </c>
      <c r="AQ558">
        <f t="shared" si="494"/>
        <v>20.516760323083222</v>
      </c>
      <c r="AR558" s="43">
        <f t="shared" si="495"/>
        <v>-83.490684366633019</v>
      </c>
      <c r="AS558" t="str">
        <f t="shared" si="472"/>
        <v>-0.0000166666666666667</v>
      </c>
      <c r="AT558" t="str">
        <f t="shared" si="473"/>
        <v>0.0536610029272003i</v>
      </c>
      <c r="AU558">
        <f t="shared" si="496"/>
        <v>5.3661002927200302E-2</v>
      </c>
      <c r="AV558">
        <f t="shared" si="497"/>
        <v>1.5707963267948966</v>
      </c>
      <c r="AW558" t="str">
        <f t="shared" si="474"/>
        <v>1+53.6145833744952i</v>
      </c>
      <c r="AX558">
        <f t="shared" si="498"/>
        <v>53.623908384420247</v>
      </c>
      <c r="AY558">
        <f t="shared" si="499"/>
        <v>1.5521468474924427</v>
      </c>
      <c r="AZ558" t="str">
        <f t="shared" si="475"/>
        <v>1+1822.89583473283i</v>
      </c>
      <c r="BA558">
        <f t="shared" si="500"/>
        <v>1822.8961090216583</v>
      </c>
      <c r="BB558">
        <f t="shared" si="501"/>
        <v>1.5702477491523161</v>
      </c>
      <c r="BC558" s="41" t="str">
        <f t="shared" si="502"/>
        <v>-0.00019110405872798+0.0105565562745518i</v>
      </c>
      <c r="BD558">
        <f t="shared" si="503"/>
        <v>-39.528131645024168</v>
      </c>
      <c r="BE558" s="43">
        <f t="shared" si="504"/>
        <v>91.037105270492091</v>
      </c>
      <c r="BF558" s="41" t="str">
        <f t="shared" si="505"/>
        <v>-0.000909956523546397-0.00459842882923658i</v>
      </c>
      <c r="BG558" s="20">
        <f t="shared" si="506"/>
        <v>-46.580994066478169</v>
      </c>
      <c r="BH558" s="43">
        <f t="shared" si="507"/>
        <v>-101.19332269152993</v>
      </c>
      <c r="BI558" s="41" t="str">
        <f t="shared" si="460"/>
        <v>0.111084517051926+0.0147161242325036i</v>
      </c>
      <c r="BJ558" s="20">
        <f t="shared" si="508"/>
        <v>-19.01137132194097</v>
      </c>
      <c r="BK558" s="43">
        <f t="shared" si="461"/>
        <v>7.5464209038591248</v>
      </c>
      <c r="BL558">
        <f t="shared" si="509"/>
        <v>-46.580994066478169</v>
      </c>
      <c r="BM558" s="43">
        <f t="shared" si="510"/>
        <v>-101.19332269152993</v>
      </c>
    </row>
    <row r="559" spans="14:65" x14ac:dyDescent="0.25">
      <c r="N559" s="9">
        <v>41</v>
      </c>
      <c r="O559" s="34">
        <f t="shared" si="462"/>
        <v>2570395.782768866</v>
      </c>
      <c r="P559" s="33" t="str">
        <f t="shared" si="463"/>
        <v>19.6196196196196</v>
      </c>
      <c r="Q559" s="4" t="str">
        <f t="shared" si="464"/>
        <v>1+3909.28755690395i</v>
      </c>
      <c r="R559" s="4">
        <f t="shared" si="476"/>
        <v>3909.2876848044907</v>
      </c>
      <c r="S559" s="4">
        <f t="shared" si="477"/>
        <v>1.5705405257151264</v>
      </c>
      <c r="T559" s="4" t="str">
        <f t="shared" si="465"/>
        <v>1+60.7250265398956i</v>
      </c>
      <c r="U559" s="4">
        <f t="shared" si="478"/>
        <v>60.733259819237645</v>
      </c>
      <c r="V559" s="4">
        <f t="shared" si="479"/>
        <v>1.5543301401679486</v>
      </c>
      <c r="W559" t="str">
        <f t="shared" si="466"/>
        <v>1-35.3287222223462i</v>
      </c>
      <c r="X559" s="4">
        <f t="shared" si="480"/>
        <v>35.342872179036306</v>
      </c>
      <c r="Y559" s="4">
        <f t="shared" si="481"/>
        <v>-1.5424983019360652</v>
      </c>
      <c r="Z559" t="str">
        <f t="shared" si="467"/>
        <v>-5.60693448007595+23.6486140590399i</v>
      </c>
      <c r="AA559" s="4">
        <f t="shared" si="482"/>
        <v>24.304210770508146</v>
      </c>
      <c r="AB559" s="4">
        <f t="shared" si="483"/>
        <v>1.8035913693131853</v>
      </c>
      <c r="AC559" s="47" t="str">
        <f t="shared" si="484"/>
        <v>-0.432489162654555+0.0970342704035039i</v>
      </c>
      <c r="AD559" s="20">
        <f t="shared" si="485"/>
        <v>-7.0672027757328939</v>
      </c>
      <c r="AE559" s="43">
        <f t="shared" si="486"/>
        <v>167.35439728896768</v>
      </c>
      <c r="AF559" t="str">
        <f t="shared" si="468"/>
        <v>72.2956529813786</v>
      </c>
      <c r="AG559" t="str">
        <f t="shared" si="469"/>
        <v>1+3188.06389334452i</v>
      </c>
      <c r="AH559">
        <f t="shared" si="487"/>
        <v>3188.064050179516</v>
      </c>
      <c r="AI559">
        <f t="shared" si="488"/>
        <v>1.5704826568056309</v>
      </c>
      <c r="AJ559" t="str">
        <f t="shared" si="470"/>
        <v>1+60.7250265398956i</v>
      </c>
      <c r="AK559">
        <f t="shared" si="489"/>
        <v>60.733259819237645</v>
      </c>
      <c r="AL559">
        <f t="shared" si="490"/>
        <v>1.5543301401679486</v>
      </c>
      <c r="AM559" t="str">
        <f t="shared" si="471"/>
        <v>1-7.81871730342484i</v>
      </c>
      <c r="AN559">
        <f t="shared" si="491"/>
        <v>7.8824070099732229</v>
      </c>
      <c r="AO559">
        <f t="shared" si="492"/>
        <v>-1.4435887287702791</v>
      </c>
      <c r="AP559" s="41" t="str">
        <f t="shared" si="493"/>
        <v>1.20313941134475-10.7891428825645i</v>
      </c>
      <c r="AQ559">
        <f t="shared" si="494"/>
        <v>20.713411896960132</v>
      </c>
      <c r="AR559" s="43">
        <f t="shared" si="495"/>
        <v>-83.637012543046708</v>
      </c>
      <c r="AS559" t="str">
        <f t="shared" si="472"/>
        <v>-0.0000166666666666667</v>
      </c>
      <c r="AT559" t="str">
        <f t="shared" si="473"/>
        <v>0.054910928254161i</v>
      </c>
      <c r="AU559">
        <f t="shared" si="496"/>
        <v>5.4910928254161002E-2</v>
      </c>
      <c r="AV559">
        <f t="shared" si="497"/>
        <v>1.5707963267948966</v>
      </c>
      <c r="AW559" t="str">
        <f t="shared" si="474"/>
        <v>1+54.863427451173i</v>
      </c>
      <c r="AX559">
        <f t="shared" si="498"/>
        <v>54.872540233618892</v>
      </c>
      <c r="AY559">
        <f t="shared" si="499"/>
        <v>1.5525712663786646</v>
      </c>
      <c r="AZ559" t="str">
        <f t="shared" si="475"/>
        <v>1+1865.35653333988i</v>
      </c>
      <c r="BA559">
        <f t="shared" si="500"/>
        <v>1865.3568013851332</v>
      </c>
      <c r="BB559">
        <f t="shared" si="501"/>
        <v>1.5702602363015625</v>
      </c>
      <c r="BC559" s="41" t="str">
        <f t="shared" si="502"/>
        <v>-0.000182505815807045+0.0103164164374555i</v>
      </c>
      <c r="BD559">
        <f t="shared" si="503"/>
        <v>-39.728063727966344</v>
      </c>
      <c r="BE559" s="43">
        <f t="shared" si="504"/>
        <v>91.013503320515895</v>
      </c>
      <c r="BF559" s="41" t="str">
        <f t="shared" si="505"/>
        <v>-0.000922114154729234-0.00447944762531205i</v>
      </c>
      <c r="BG559" s="20">
        <f t="shared" si="506"/>
        <v>-46.795266503699239</v>
      </c>
      <c r="BH559" s="43">
        <f t="shared" si="507"/>
        <v>-101.63209939051643</v>
      </c>
      <c r="BI559" s="41" t="str">
        <f t="shared" si="460"/>
        <v>0.111085711039947+0.0143811685233887i</v>
      </c>
      <c r="BJ559" s="20">
        <f t="shared" si="508"/>
        <v>-19.014651831006244</v>
      </c>
      <c r="BK559" s="43">
        <f t="shared" si="461"/>
        <v>7.3764907774692121</v>
      </c>
      <c r="BL559">
        <f t="shared" si="509"/>
        <v>-46.795266503699239</v>
      </c>
      <c r="BM559" s="43">
        <f t="shared" si="510"/>
        <v>-101.63209939051643</v>
      </c>
    </row>
    <row r="560" spans="14:65" ht="15.75" thickBot="1" x14ac:dyDescent="0.3">
      <c r="N560" s="9">
        <v>42</v>
      </c>
      <c r="O560" s="34">
        <f t="shared" si="462"/>
        <v>2630267.9918953842</v>
      </c>
      <c r="P560" s="33" t="str">
        <f t="shared" si="463"/>
        <v>19.6196196196196</v>
      </c>
      <c r="Q560" s="4" t="str">
        <f t="shared" si="464"/>
        <v>1+4000.34656179015i</v>
      </c>
      <c r="R560" s="4">
        <f t="shared" si="476"/>
        <v>4000.346686779319</v>
      </c>
      <c r="S560" s="4">
        <f t="shared" si="477"/>
        <v>1.5705463484583391</v>
      </c>
      <c r="T560" s="4" t="str">
        <f t="shared" si="465"/>
        <v>1+62.1394941143379i</v>
      </c>
      <c r="U560" s="4">
        <f t="shared" si="478"/>
        <v>62.147540005907189</v>
      </c>
      <c r="V560" s="4">
        <f t="shared" si="479"/>
        <v>1.5547048908840473</v>
      </c>
      <c r="W560" t="str">
        <f t="shared" si="466"/>
        <v>1-36.1516338763602i</v>
      </c>
      <c r="X560" s="4">
        <f t="shared" si="480"/>
        <v>36.16546186529898</v>
      </c>
      <c r="Y560" s="4">
        <f t="shared" si="481"/>
        <v>-1.5431421114452026</v>
      </c>
      <c r="Z560" t="str">
        <f t="shared" si="467"/>
        <v>-5.91830970918934+24.1994610437676i</v>
      </c>
      <c r="AA560" s="4">
        <f t="shared" si="482"/>
        <v>24.912653504247807</v>
      </c>
      <c r="AB560" s="4">
        <f t="shared" si="483"/>
        <v>1.8106519631780105</v>
      </c>
      <c r="AC560" s="42" t="str">
        <f t="shared" si="484"/>
        <v>-0.431021804932309+0.10003149239348i</v>
      </c>
      <c r="AD560" s="46">
        <f t="shared" si="485"/>
        <v>-7.0821815386487383</v>
      </c>
      <c r="AE560" s="45">
        <f t="shared" si="486"/>
        <v>166.93410550776389</v>
      </c>
      <c r="AF560" t="str">
        <f t="shared" si="468"/>
        <v>72.2956529813786</v>
      </c>
      <c r="AG560" t="str">
        <f t="shared" si="469"/>
        <v>1+3262.32344100274i</v>
      </c>
      <c r="AH560">
        <f t="shared" si="487"/>
        <v>3262.3235942677356</v>
      </c>
      <c r="AI560">
        <f t="shared" si="488"/>
        <v>1.5704897968058369</v>
      </c>
      <c r="AJ560" t="str">
        <f t="shared" si="470"/>
        <v>1+62.1394941143379i</v>
      </c>
      <c r="AK560">
        <f t="shared" si="489"/>
        <v>62.147540005907189</v>
      </c>
      <c r="AL560">
        <f t="shared" si="490"/>
        <v>1.5547048908840473</v>
      </c>
      <c r="AM560" t="str">
        <f t="shared" si="471"/>
        <v>1-8.0008386252189i</v>
      </c>
      <c r="AN560">
        <f t="shared" si="491"/>
        <v>8.0630898982210706</v>
      </c>
      <c r="AO560">
        <f t="shared" si="492"/>
        <v>-1.446454232843039</v>
      </c>
      <c r="AP560" s="44" t="str">
        <f t="shared" si="493"/>
        <v>1.20313909653088-11.0394272797827i</v>
      </c>
      <c r="AQ560" s="39">
        <f t="shared" si="494"/>
        <v>20.910211841672066</v>
      </c>
      <c r="AR560" s="45">
        <f t="shared" si="495"/>
        <v>-83.780131290068951</v>
      </c>
      <c r="AS560" t="str">
        <f t="shared" si="472"/>
        <v>-0.0000166666666666667</v>
      </c>
      <c r="AT560" t="str">
        <f t="shared" si="473"/>
        <v>0.0561899680821142i</v>
      </c>
      <c r="AU560">
        <f t="shared" si="496"/>
        <v>5.6189968082114197E-2</v>
      </c>
      <c r="AV560">
        <f t="shared" si="497"/>
        <v>1.5707963267948966</v>
      </c>
      <c r="AW560" t="str">
        <f t="shared" si="474"/>
        <v>1+56.1413608432888i</v>
      </c>
      <c r="AX560">
        <f t="shared" si="498"/>
        <v>56.150266226762994</v>
      </c>
      <c r="AY560">
        <f t="shared" si="499"/>
        <v>1.5529860306568053</v>
      </c>
      <c r="AZ560" t="str">
        <f t="shared" si="475"/>
        <v>1+1908.80626867182i</v>
      </c>
      <c r="BA560">
        <f t="shared" si="500"/>
        <v>1908.8065306156191</v>
      </c>
      <c r="BB560">
        <f t="shared" si="501"/>
        <v>1.570272439208751</v>
      </c>
      <c r="BC560" s="44" t="str">
        <f t="shared" si="502"/>
        <v>-0.00017429430629786+0.0100817323944437i</v>
      </c>
      <c r="BD560" s="39">
        <f t="shared" si="503"/>
        <v>-39.927998866686451</v>
      </c>
      <c r="BE560" s="45">
        <f t="shared" si="504"/>
        <v>90.990438252965347</v>
      </c>
      <c r="BF560" s="44" t="str">
        <f t="shared" si="505"/>
        <v>-0.000933366090837968-0.00436288141307231i</v>
      </c>
      <c r="BG560" s="46">
        <f t="shared" si="506"/>
        <v>-47.010180405335198</v>
      </c>
      <c r="BH560" s="45">
        <f t="shared" si="507"/>
        <v>-102.07545623927076</v>
      </c>
      <c r="BI560" s="44" t="str">
        <f t="shared" si="460"/>
        <v>0.111086851328481+0.0140538357241725i</v>
      </c>
      <c r="BJ560" s="46">
        <f t="shared" si="508"/>
        <v>-19.017787025014389</v>
      </c>
      <c r="BK560" s="45">
        <f t="shared" si="461"/>
        <v>7.2103069628963974</v>
      </c>
      <c r="BL560" s="39">
        <f t="shared" si="509"/>
        <v>-47.010180405335198</v>
      </c>
      <c r="BM560" s="45">
        <f t="shared" si="510"/>
        <v>-102.07545623927076</v>
      </c>
    </row>
    <row r="561" spans="14:30" x14ac:dyDescent="0.25">
      <c r="N561" s="9"/>
      <c r="P561" s="33"/>
      <c r="Q561" s="4"/>
      <c r="R561" s="4"/>
      <c r="S561" s="4"/>
      <c r="T561" s="4"/>
      <c r="U561" s="4"/>
      <c r="V561" s="4"/>
      <c r="X561" s="4"/>
      <c r="Y561" s="4"/>
      <c r="AA561" s="4"/>
      <c r="AB561" s="4"/>
      <c r="AC561" s="4"/>
      <c r="AD561" s="20"/>
    </row>
    <row r="562" spans="14:30" x14ac:dyDescent="0.25">
      <c r="N562" s="9"/>
      <c r="P562" s="33"/>
      <c r="Q562" s="4"/>
      <c r="R562" s="4"/>
      <c r="S562" s="4"/>
      <c r="T562" s="4"/>
      <c r="U562" s="4"/>
      <c r="V562" s="4"/>
      <c r="X562" s="4"/>
      <c r="Y562" s="4"/>
      <c r="AA562" s="4"/>
      <c r="AB562" s="4"/>
      <c r="AC562" s="4"/>
      <c r="AD562" s="20"/>
    </row>
    <row r="563" spans="14:30" x14ac:dyDescent="0.25">
      <c r="N563" s="9"/>
      <c r="P563" s="33"/>
      <c r="Q563" s="4"/>
      <c r="R563" s="4"/>
      <c r="S563" s="4"/>
      <c r="T563" s="4"/>
      <c r="U563" s="4"/>
      <c r="V563" s="4"/>
      <c r="X563" s="4"/>
      <c r="Y563" s="4"/>
      <c r="AA563" s="4"/>
      <c r="AB563" s="4"/>
      <c r="AC563" s="4"/>
      <c r="AD563" s="20"/>
    </row>
    <row r="564" spans="14:30" x14ac:dyDescent="0.25">
      <c r="N564" s="9"/>
      <c r="P564" s="33"/>
      <c r="Q564" s="4"/>
      <c r="R564" s="4"/>
      <c r="S564" s="4"/>
      <c r="T564" s="4"/>
      <c r="U564" s="4"/>
      <c r="V564" s="4"/>
      <c r="X564" s="4"/>
      <c r="Y564" s="4"/>
      <c r="AA564" s="4"/>
      <c r="AB564" s="4"/>
      <c r="AC564" s="4"/>
      <c r="AD564" s="20"/>
    </row>
    <row r="565" spans="14:30" x14ac:dyDescent="0.25">
      <c r="N565" s="9"/>
      <c r="P565" s="33"/>
      <c r="Q565" s="4"/>
      <c r="R565" s="4"/>
      <c r="S565" s="4"/>
      <c r="T565" s="4"/>
      <c r="U565" s="4"/>
      <c r="V565" s="4"/>
      <c r="X565" s="4"/>
      <c r="Y565" s="4"/>
      <c r="AA565" s="4"/>
      <c r="AB565" s="4"/>
      <c r="AC565" s="4"/>
      <c r="AD565" s="20"/>
    </row>
    <row r="566" spans="14:30" x14ac:dyDescent="0.25">
      <c r="N566" s="9"/>
      <c r="P566" s="33"/>
      <c r="Q566" s="4"/>
      <c r="R566" s="4"/>
      <c r="S566" s="4"/>
      <c r="T566" s="4"/>
      <c r="U566" s="4"/>
      <c r="V566" s="4"/>
      <c r="X566" s="4"/>
      <c r="Y566" s="4"/>
      <c r="AA566" s="4"/>
      <c r="AB566" s="4"/>
      <c r="AC566" s="4"/>
      <c r="AD566" s="20"/>
    </row>
    <row r="567" spans="14:30" x14ac:dyDescent="0.25">
      <c r="N567" s="9"/>
      <c r="P567" s="33"/>
      <c r="Q567" s="4"/>
      <c r="R567" s="4"/>
      <c r="S567" s="4"/>
      <c r="T567" s="4"/>
      <c r="U567" s="4"/>
      <c r="V567" s="4"/>
      <c r="X567" s="4"/>
      <c r="Y567" s="4"/>
      <c r="AA567" s="4"/>
      <c r="AB567" s="4"/>
      <c r="AC567" s="4"/>
      <c r="AD567" s="20"/>
    </row>
    <row r="568" spans="14:30" x14ac:dyDescent="0.25">
      <c r="N568" s="9"/>
      <c r="P568" s="33"/>
      <c r="Q568" s="4"/>
      <c r="R568" s="4"/>
      <c r="S568" s="4"/>
      <c r="T568" s="4"/>
      <c r="U568" s="4"/>
      <c r="V568" s="4"/>
      <c r="X568" s="4"/>
      <c r="Y568" s="4"/>
      <c r="AA568" s="4"/>
      <c r="AB568" s="4"/>
      <c r="AC568" s="4"/>
      <c r="AD568" s="20"/>
    </row>
    <row r="569" spans="14:30" x14ac:dyDescent="0.25">
      <c r="N569" s="9"/>
      <c r="P569" s="33"/>
      <c r="Q569" s="4"/>
      <c r="R569" s="4"/>
      <c r="S569" s="4"/>
      <c r="T569" s="4"/>
      <c r="U569" s="4"/>
      <c r="V569" s="4"/>
      <c r="X569" s="4"/>
      <c r="Y569" s="4"/>
      <c r="AA569" s="4"/>
      <c r="AB569" s="4"/>
      <c r="AC569" s="4"/>
      <c r="AD569" s="20"/>
    </row>
    <row r="570" spans="14:30" x14ac:dyDescent="0.25">
      <c r="N570" s="9"/>
      <c r="P570" s="33"/>
      <c r="Q570" s="4"/>
      <c r="R570" s="4"/>
      <c r="S570" s="4"/>
      <c r="T570" s="4"/>
      <c r="U570" s="4"/>
      <c r="V570" s="4"/>
      <c r="X570" s="4"/>
      <c r="Y570" s="4"/>
      <c r="AA570" s="4"/>
      <c r="AB570" s="4"/>
      <c r="AC570" s="4"/>
      <c r="AD570" s="20"/>
    </row>
    <row r="571" spans="14:30" x14ac:dyDescent="0.25">
      <c r="N571" s="9"/>
      <c r="P571" s="33"/>
      <c r="Q571" s="4"/>
      <c r="R571" s="4"/>
      <c r="S571" s="4"/>
      <c r="T571" s="4"/>
      <c r="U571" s="4"/>
      <c r="V571" s="4"/>
      <c r="X571" s="4"/>
      <c r="Y571" s="4"/>
      <c r="AA571" s="4"/>
      <c r="AB571" s="4"/>
      <c r="AC571" s="4"/>
      <c r="AD571" s="20"/>
    </row>
    <row r="572" spans="14:30" x14ac:dyDescent="0.25">
      <c r="N572" s="9"/>
      <c r="P572" s="33"/>
      <c r="Q572" s="4"/>
      <c r="R572" s="4"/>
      <c r="S572" s="4"/>
      <c r="T572" s="4"/>
      <c r="U572" s="4"/>
      <c r="V572" s="4"/>
      <c r="X572" s="4"/>
      <c r="Y572" s="4"/>
      <c r="AA572" s="4"/>
      <c r="AB572" s="4"/>
      <c r="AC572" s="4"/>
      <c r="AD572" s="20"/>
    </row>
    <row r="573" spans="14:30" x14ac:dyDescent="0.25">
      <c r="N573" s="9"/>
      <c r="P573" s="33"/>
      <c r="Q573" s="4"/>
      <c r="R573" s="4"/>
      <c r="S573" s="4"/>
      <c r="T573" s="4"/>
      <c r="U573" s="4"/>
      <c r="V573" s="4"/>
      <c r="X573" s="4"/>
      <c r="Y573" s="4"/>
      <c r="AA573" s="4"/>
      <c r="AB573" s="4"/>
      <c r="AC573" s="4"/>
      <c r="AD573" s="20"/>
    </row>
    <row r="574" spans="14:30" x14ac:dyDescent="0.25">
      <c r="N574" s="9"/>
      <c r="P574" s="33"/>
      <c r="Q574" s="4"/>
      <c r="R574" s="4"/>
      <c r="S574" s="4"/>
      <c r="T574" s="4"/>
      <c r="U574" s="4"/>
      <c r="V574" s="4"/>
      <c r="X574" s="4"/>
      <c r="Y574" s="4"/>
      <c r="AA574" s="4"/>
      <c r="AB574" s="4"/>
      <c r="AC574" s="4"/>
      <c r="AD574" s="20"/>
    </row>
    <row r="575" spans="14:30" x14ac:dyDescent="0.25">
      <c r="N575" s="9"/>
      <c r="P575" s="33"/>
      <c r="Q575" s="4"/>
      <c r="R575" s="4"/>
      <c r="S575" s="4"/>
      <c r="T575" s="4"/>
      <c r="U575" s="4"/>
      <c r="V575" s="4"/>
      <c r="X575" s="4"/>
      <c r="Y575" s="4"/>
      <c r="AA575" s="4"/>
      <c r="AB575" s="4"/>
      <c r="AC575" s="4"/>
      <c r="AD575" s="20"/>
    </row>
    <row r="576" spans="14:30" x14ac:dyDescent="0.25">
      <c r="N576" s="9"/>
      <c r="P576" s="33"/>
      <c r="Q576" s="4"/>
      <c r="R576" s="4"/>
      <c r="S576" s="4"/>
      <c r="T576" s="4"/>
      <c r="U576" s="4"/>
      <c r="V576" s="4"/>
      <c r="X576" s="4"/>
      <c r="Y576" s="4"/>
      <c r="AA576" s="4"/>
      <c r="AB576" s="4"/>
      <c r="AC576" s="4"/>
      <c r="AD576" s="20"/>
    </row>
    <row r="577" spans="14:30" x14ac:dyDescent="0.25">
      <c r="N577" s="9"/>
      <c r="P577" s="33"/>
      <c r="Q577" s="4"/>
      <c r="R577" s="4"/>
      <c r="S577" s="4"/>
      <c r="T577" s="4"/>
      <c r="U577" s="4"/>
      <c r="V577" s="4"/>
      <c r="X577" s="4"/>
      <c r="Y577" s="4"/>
      <c r="AA577" s="4"/>
      <c r="AB577" s="4"/>
      <c r="AC577" s="4"/>
      <c r="AD577" s="20"/>
    </row>
    <row r="578" spans="14:30" x14ac:dyDescent="0.25">
      <c r="N578" s="9"/>
      <c r="P578" s="33"/>
      <c r="Q578" s="4"/>
      <c r="R578" s="4"/>
      <c r="S578" s="4"/>
      <c r="T578" s="4"/>
      <c r="U578" s="4"/>
      <c r="V578" s="4"/>
      <c r="X578" s="4"/>
      <c r="Y578" s="4"/>
      <c r="AA578" s="4"/>
      <c r="AB578" s="4"/>
      <c r="AC578" s="4"/>
      <c r="AD578" s="20"/>
    </row>
    <row r="579" spans="14:30" x14ac:dyDescent="0.25">
      <c r="N579" s="9"/>
      <c r="P579" s="33"/>
      <c r="Q579" s="4"/>
      <c r="R579" s="4"/>
      <c r="S579" s="4"/>
      <c r="T579" s="4"/>
      <c r="U579" s="4"/>
      <c r="V579" s="4"/>
      <c r="X579" s="4"/>
      <c r="Y579" s="4"/>
      <c r="AA579" s="4"/>
      <c r="AB579" s="4"/>
      <c r="AC579" s="4"/>
      <c r="AD579" s="20"/>
    </row>
    <row r="580" spans="14:30" x14ac:dyDescent="0.25">
      <c r="N580" s="9"/>
      <c r="P580" s="33"/>
      <c r="Q580" s="4"/>
      <c r="R580" s="4"/>
      <c r="S580" s="4"/>
      <c r="T580" s="4"/>
      <c r="U580" s="4"/>
      <c r="V580" s="4"/>
      <c r="X580" s="4"/>
      <c r="Y580" s="4"/>
      <c r="AA580" s="4"/>
      <c r="AB580" s="4"/>
      <c r="AC580" s="4"/>
      <c r="AD580" s="20"/>
    </row>
    <row r="581" spans="14:30" x14ac:dyDescent="0.25">
      <c r="N581" s="9"/>
      <c r="P581" s="33"/>
      <c r="Q581" s="4"/>
      <c r="R581" s="4"/>
      <c r="S581" s="4"/>
      <c r="T581" s="4"/>
      <c r="U581" s="4"/>
      <c r="V581" s="4"/>
      <c r="X581" s="4"/>
      <c r="Y581" s="4"/>
      <c r="AA581" s="4"/>
      <c r="AB581" s="4"/>
      <c r="AC581" s="4"/>
      <c r="AD581" s="20"/>
    </row>
    <row r="582" spans="14:30" x14ac:dyDescent="0.25">
      <c r="N582" s="9"/>
      <c r="P582" s="33"/>
      <c r="Q582" s="4"/>
      <c r="R582" s="4"/>
      <c r="S582" s="4"/>
      <c r="T582" s="4"/>
      <c r="U582" s="4"/>
      <c r="V582" s="4"/>
      <c r="X582" s="4"/>
      <c r="Y582" s="4"/>
      <c r="AA582" s="4"/>
      <c r="AB582" s="4"/>
      <c r="AC582" s="4"/>
      <c r="AD582" s="20"/>
    </row>
    <row r="583" spans="14:30" x14ac:dyDescent="0.25">
      <c r="N583" s="9"/>
      <c r="P583" s="33"/>
      <c r="Q583" s="4"/>
      <c r="R583" s="4"/>
      <c r="S583" s="4"/>
      <c r="T583" s="4"/>
      <c r="U583" s="4"/>
      <c r="V583" s="4"/>
      <c r="X583" s="4"/>
      <c r="Y583" s="4"/>
      <c r="AA583" s="4"/>
      <c r="AB583" s="4"/>
      <c r="AC583" s="4"/>
      <c r="AD583" s="20"/>
    </row>
    <row r="584" spans="14:30" x14ac:dyDescent="0.25">
      <c r="N584" s="9"/>
      <c r="P584" s="33"/>
      <c r="Q584" s="4"/>
      <c r="R584" s="4"/>
      <c r="S584" s="4"/>
      <c r="T584" s="4"/>
      <c r="U584" s="4"/>
      <c r="V584" s="4"/>
      <c r="X584" s="4"/>
      <c r="Y584" s="4"/>
      <c r="AA584" s="4"/>
      <c r="AB584" s="4"/>
      <c r="AC584" s="4"/>
      <c r="AD584" s="20"/>
    </row>
    <row r="585" spans="14:30" x14ac:dyDescent="0.25">
      <c r="N585" s="9"/>
      <c r="P585" s="33"/>
      <c r="Q585" s="4"/>
      <c r="R585" s="4"/>
      <c r="S585" s="4"/>
      <c r="T585" s="4"/>
      <c r="U585" s="4"/>
      <c r="V585" s="4"/>
      <c r="X585" s="4"/>
      <c r="Y585" s="4"/>
      <c r="AA585" s="4"/>
      <c r="AB585" s="4"/>
      <c r="AC585" s="4"/>
      <c r="AD585" s="20"/>
    </row>
    <row r="586" spans="14:30" x14ac:dyDescent="0.25">
      <c r="N586" s="9"/>
      <c r="P586" s="33"/>
      <c r="Q586" s="4"/>
      <c r="R586" s="4"/>
      <c r="S586" s="4"/>
      <c r="T586" s="4"/>
      <c r="U586" s="4"/>
      <c r="V586" s="4"/>
      <c r="X586" s="4"/>
      <c r="Y586" s="4"/>
      <c r="AA586" s="4"/>
      <c r="AB586" s="4"/>
      <c r="AC586" s="4"/>
      <c r="AD586" s="20"/>
    </row>
    <row r="587" spans="14:30" x14ac:dyDescent="0.25">
      <c r="N587" s="9"/>
      <c r="P587" s="33"/>
      <c r="Q587" s="4"/>
      <c r="R587" s="4"/>
      <c r="S587" s="4"/>
      <c r="T587" s="4"/>
      <c r="U587" s="4"/>
      <c r="V587" s="4"/>
      <c r="X587" s="4"/>
      <c r="Y587" s="4"/>
      <c r="AA587" s="4"/>
      <c r="AB587" s="4"/>
      <c r="AC587" s="4"/>
      <c r="AD587" s="20"/>
    </row>
    <row r="588" spans="14:30" x14ac:dyDescent="0.25">
      <c r="N588" s="9"/>
      <c r="P588" s="33"/>
      <c r="Q588" s="4"/>
      <c r="R588" s="4"/>
      <c r="S588" s="4"/>
      <c r="T588" s="4"/>
      <c r="U588" s="4"/>
      <c r="V588" s="4"/>
      <c r="X588" s="4"/>
      <c r="Y588" s="4"/>
      <c r="AA588" s="4"/>
      <c r="AB588" s="4"/>
      <c r="AC588" s="4"/>
      <c r="AD588" s="20"/>
    </row>
    <row r="589" spans="14:30" x14ac:dyDescent="0.25">
      <c r="N589" s="9"/>
      <c r="P589" s="33"/>
      <c r="Q589" s="4"/>
      <c r="R589" s="4"/>
      <c r="S589" s="4"/>
      <c r="T589" s="4"/>
      <c r="U589" s="4"/>
      <c r="V589" s="4"/>
      <c r="X589" s="4"/>
      <c r="Y589" s="4"/>
      <c r="AA589" s="4"/>
      <c r="AB589" s="4"/>
      <c r="AC589" s="4"/>
      <c r="AD589" s="20"/>
    </row>
    <row r="590" spans="14:30" x14ac:dyDescent="0.25">
      <c r="N590" s="9"/>
      <c r="P590" s="33"/>
      <c r="Q590" s="4"/>
      <c r="R590" s="4"/>
      <c r="S590" s="4"/>
      <c r="T590" s="4"/>
      <c r="U590" s="4"/>
      <c r="V590" s="4"/>
      <c r="X590" s="4"/>
      <c r="Y590" s="4"/>
      <c r="AA590" s="4"/>
      <c r="AB590" s="4"/>
      <c r="AC590" s="4"/>
      <c r="AD590" s="20"/>
    </row>
    <row r="591" spans="14:30" x14ac:dyDescent="0.25">
      <c r="N591" s="9"/>
      <c r="P591" s="33"/>
      <c r="Q591" s="4"/>
      <c r="R591" s="4"/>
      <c r="S591" s="4"/>
      <c r="T591" s="4"/>
      <c r="U591" s="4"/>
      <c r="V591" s="4"/>
      <c r="X591" s="4"/>
      <c r="Y591" s="4"/>
      <c r="AA591" s="4"/>
      <c r="AB591" s="4"/>
      <c r="AC591" s="4"/>
      <c r="AD591" s="20"/>
    </row>
    <row r="592" spans="14:30" x14ac:dyDescent="0.25">
      <c r="N592" s="9"/>
      <c r="P592" s="33"/>
      <c r="Q592" s="4"/>
      <c r="R592" s="4"/>
      <c r="S592" s="4"/>
      <c r="T592" s="4"/>
      <c r="U592" s="4"/>
      <c r="V592" s="4"/>
      <c r="X592" s="4"/>
      <c r="Y592" s="4"/>
      <c r="AA592" s="4"/>
      <c r="AB592" s="4"/>
      <c r="AC592" s="4"/>
      <c r="AD592" s="20"/>
    </row>
    <row r="593" spans="14:30" x14ac:dyDescent="0.25">
      <c r="N593" s="9"/>
      <c r="P593" s="33"/>
      <c r="Q593" s="4"/>
      <c r="R593" s="4"/>
      <c r="S593" s="4"/>
      <c r="T593" s="4"/>
      <c r="U593" s="4"/>
      <c r="V593" s="4"/>
      <c r="X593" s="4"/>
      <c r="Y593" s="4"/>
      <c r="AA593" s="4"/>
      <c r="AB593" s="4"/>
      <c r="AC593" s="4"/>
      <c r="AD593" s="20"/>
    </row>
    <row r="594" spans="14:30" x14ac:dyDescent="0.25">
      <c r="N594" s="9"/>
      <c r="P594" s="33"/>
      <c r="Q594" s="4"/>
      <c r="R594" s="4"/>
      <c r="S594" s="4"/>
      <c r="T594" s="4"/>
      <c r="U594" s="4"/>
      <c r="V594" s="4"/>
      <c r="X594" s="4"/>
      <c r="Y594" s="4"/>
      <c r="AA594" s="4"/>
      <c r="AB594" s="4"/>
      <c r="AC594" s="4"/>
      <c r="AD594" s="20"/>
    </row>
    <row r="595" spans="14:30" x14ac:dyDescent="0.25">
      <c r="N595" s="9"/>
      <c r="P595" s="33"/>
      <c r="Q595" s="4"/>
      <c r="R595" s="4"/>
      <c r="S595" s="4"/>
      <c r="T595" s="4"/>
      <c r="U595" s="4"/>
      <c r="V595" s="4"/>
      <c r="X595" s="4"/>
      <c r="Y595" s="4"/>
      <c r="AA595" s="4"/>
      <c r="AB595" s="4"/>
      <c r="AC595" s="4"/>
      <c r="AD595" s="20"/>
    </row>
    <row r="596" spans="14:30" x14ac:dyDescent="0.25">
      <c r="N596" s="9"/>
      <c r="P596" s="33"/>
      <c r="Q596" s="4"/>
      <c r="R596" s="4"/>
      <c r="S596" s="4"/>
      <c r="T596" s="4"/>
      <c r="U596" s="4"/>
      <c r="V596" s="4"/>
      <c r="X596" s="4"/>
      <c r="Y596" s="4"/>
      <c r="AA596" s="4"/>
      <c r="AB596" s="4"/>
      <c r="AC596" s="4"/>
      <c r="AD596" s="20"/>
    </row>
    <row r="597" spans="14:30" x14ac:dyDescent="0.25">
      <c r="N597" s="9"/>
      <c r="P597" s="33"/>
      <c r="Q597" s="4"/>
      <c r="R597" s="4"/>
      <c r="S597" s="4"/>
      <c r="T597" s="4"/>
      <c r="U597" s="4"/>
      <c r="V597" s="4"/>
      <c r="X597" s="4"/>
      <c r="Y597" s="4"/>
      <c r="AA597" s="4"/>
      <c r="AB597" s="4"/>
      <c r="AC597" s="4"/>
      <c r="AD597" s="20"/>
    </row>
    <row r="598" spans="14:30" x14ac:dyDescent="0.25">
      <c r="N598" s="9"/>
      <c r="P598" s="33"/>
      <c r="Q598" s="4"/>
      <c r="R598" s="4"/>
      <c r="S598" s="4"/>
      <c r="T598" s="4"/>
      <c r="U598" s="4"/>
      <c r="V598" s="4"/>
      <c r="X598" s="4"/>
      <c r="Y598" s="4"/>
      <c r="AA598" s="4"/>
      <c r="AB598" s="4"/>
      <c r="AC598" s="4"/>
      <c r="AD598" s="20"/>
    </row>
    <row r="599" spans="14:30" x14ac:dyDescent="0.25">
      <c r="N599" s="9"/>
      <c r="P599" s="33"/>
      <c r="Q599" s="4"/>
      <c r="R599" s="4"/>
      <c r="S599" s="4"/>
      <c r="T599" s="4"/>
      <c r="U599" s="4"/>
      <c r="V599" s="4"/>
      <c r="X599" s="4"/>
      <c r="Y599" s="4"/>
      <c r="AA599" s="4"/>
      <c r="AB599" s="4"/>
      <c r="AC599" s="4"/>
      <c r="AD599" s="20"/>
    </row>
    <row r="600" spans="14:30" x14ac:dyDescent="0.25">
      <c r="N600" s="9"/>
      <c r="P600" s="33"/>
      <c r="Q600" s="4"/>
      <c r="R600" s="4"/>
      <c r="S600" s="4"/>
      <c r="T600" s="4"/>
      <c r="U600" s="4"/>
      <c r="V600" s="4"/>
      <c r="X600" s="4"/>
      <c r="Y600" s="4"/>
      <c r="AA600" s="4"/>
      <c r="AB600" s="4"/>
      <c r="AC600" s="4"/>
      <c r="AD600" s="20"/>
    </row>
    <row r="601" spans="14:30" x14ac:dyDescent="0.25">
      <c r="N601" s="9"/>
      <c r="P601" s="33"/>
      <c r="Q601" s="4"/>
      <c r="R601" s="4"/>
      <c r="S601" s="4"/>
      <c r="T601" s="4"/>
      <c r="U601" s="4"/>
      <c r="V601" s="4"/>
      <c r="X601" s="4"/>
      <c r="Y601" s="4"/>
      <c r="AA601" s="4"/>
      <c r="AB601" s="4"/>
      <c r="AC601" s="4"/>
      <c r="AD601" s="20"/>
    </row>
    <row r="602" spans="14:30" x14ac:dyDescent="0.25">
      <c r="N602" s="9"/>
      <c r="P602" s="33"/>
      <c r="Q602" s="4"/>
      <c r="R602" s="4"/>
      <c r="S602" s="4"/>
      <c r="T602" s="4"/>
      <c r="U602" s="4"/>
      <c r="V602" s="4"/>
      <c r="X602" s="4"/>
      <c r="Y602" s="4"/>
      <c r="AA602" s="4"/>
      <c r="AB602" s="4"/>
      <c r="AC602" s="4"/>
      <c r="AD602" s="20"/>
    </row>
    <row r="603" spans="14:30" x14ac:dyDescent="0.25">
      <c r="N603" s="9"/>
      <c r="P603" s="33"/>
      <c r="Q603" s="4"/>
      <c r="R603" s="4"/>
      <c r="S603" s="4"/>
      <c r="T603" s="4"/>
      <c r="U603" s="4"/>
      <c r="V603" s="4"/>
      <c r="X603" s="4"/>
      <c r="Y603" s="4"/>
      <c r="AA603" s="4"/>
      <c r="AB603" s="4"/>
      <c r="AC603" s="4"/>
      <c r="AD603" s="20"/>
    </row>
    <row r="604" spans="14:30" x14ac:dyDescent="0.25">
      <c r="N604" s="9"/>
      <c r="P604" s="33"/>
      <c r="Q604" s="4"/>
      <c r="R604" s="4"/>
      <c r="S604" s="4"/>
      <c r="T604" s="4"/>
      <c r="U604" s="4"/>
      <c r="V604" s="4"/>
      <c r="X604" s="4"/>
      <c r="Y604" s="4"/>
      <c r="AA604" s="4"/>
      <c r="AB604" s="4"/>
      <c r="AC604" s="4"/>
      <c r="AD604" s="20"/>
    </row>
    <row r="605" spans="14:30" x14ac:dyDescent="0.25">
      <c r="N605" s="9"/>
      <c r="P605" s="33"/>
      <c r="Q605" s="4"/>
      <c r="R605" s="4"/>
      <c r="S605" s="4"/>
      <c r="T605" s="4"/>
      <c r="U605" s="4"/>
      <c r="V605" s="4"/>
      <c r="X605" s="4"/>
      <c r="Y605" s="4"/>
      <c r="AA605" s="4"/>
      <c r="AB605" s="4"/>
      <c r="AC605" s="4"/>
      <c r="AD605" s="20"/>
    </row>
    <row r="606" spans="14:30" x14ac:dyDescent="0.25">
      <c r="N606" s="9"/>
      <c r="P606" s="33"/>
      <c r="Q606" s="4"/>
      <c r="R606" s="4"/>
      <c r="S606" s="4"/>
      <c r="T606" s="4"/>
      <c r="U606" s="4"/>
      <c r="V606" s="4"/>
      <c r="X606" s="4"/>
      <c r="Y606" s="4"/>
      <c r="AA606" s="4"/>
      <c r="AB606" s="4"/>
      <c r="AC606" s="4"/>
      <c r="AD606" s="20"/>
    </row>
    <row r="607" spans="14:30" x14ac:dyDescent="0.25">
      <c r="N607" s="9"/>
      <c r="P607" s="33"/>
      <c r="Q607" s="4"/>
      <c r="R607" s="4"/>
      <c r="S607" s="4"/>
      <c r="T607" s="4"/>
      <c r="U607" s="4"/>
      <c r="V607" s="4"/>
      <c r="X607" s="4"/>
      <c r="Y607" s="4"/>
      <c r="AA607" s="4"/>
      <c r="AB607" s="4"/>
      <c r="AC607" s="4"/>
      <c r="AD607" s="20"/>
    </row>
    <row r="608" spans="14:30" x14ac:dyDescent="0.25">
      <c r="N608" s="9"/>
      <c r="P608" s="33"/>
      <c r="Q608" s="4"/>
      <c r="R608" s="4"/>
      <c r="S608" s="4"/>
      <c r="T608" s="4"/>
      <c r="U608" s="4"/>
      <c r="V608" s="4"/>
      <c r="X608" s="4"/>
      <c r="Y608" s="4"/>
      <c r="AA608" s="4"/>
      <c r="AB608" s="4"/>
      <c r="AC608" s="4"/>
      <c r="AD608" s="20"/>
    </row>
    <row r="609" spans="14:30" x14ac:dyDescent="0.25">
      <c r="N609" s="9"/>
      <c r="P609" s="33"/>
      <c r="Q609" s="4"/>
      <c r="R609" s="4"/>
      <c r="S609" s="4"/>
      <c r="T609" s="4"/>
      <c r="U609" s="4"/>
      <c r="V609" s="4"/>
      <c r="X609" s="4"/>
      <c r="Y609" s="4"/>
      <c r="AA609" s="4"/>
      <c r="AB609" s="4"/>
      <c r="AC609" s="4"/>
      <c r="AD609" s="20"/>
    </row>
    <row r="610" spans="14:30" x14ac:dyDescent="0.25">
      <c r="N610" s="9"/>
      <c r="P610" s="33"/>
      <c r="Q610" s="4"/>
      <c r="R610" s="4"/>
      <c r="S610" s="4"/>
      <c r="T610" s="4"/>
      <c r="U610" s="4"/>
      <c r="V610" s="4"/>
      <c r="X610" s="4"/>
      <c r="Y610" s="4"/>
      <c r="AA610" s="4"/>
      <c r="AB610" s="4"/>
      <c r="AC610" s="4"/>
      <c r="AD610" s="20"/>
    </row>
    <row r="611" spans="14:30" x14ac:dyDescent="0.25">
      <c r="N611" s="9"/>
      <c r="P611" s="33"/>
      <c r="Q611" s="4"/>
      <c r="R611" s="4"/>
      <c r="S611" s="4"/>
      <c r="T611" s="4"/>
      <c r="U611" s="4"/>
      <c r="V611" s="4"/>
      <c r="X611" s="4"/>
      <c r="Y611" s="4"/>
      <c r="AA611" s="4"/>
      <c r="AB611" s="4"/>
      <c r="AC611" s="4"/>
      <c r="AD611" s="20"/>
    </row>
    <row r="612" spans="14:30" x14ac:dyDescent="0.25">
      <c r="N612" s="9"/>
      <c r="P612" s="33"/>
      <c r="Q612" s="4"/>
      <c r="R612" s="4"/>
      <c r="S612" s="4"/>
      <c r="T612" s="4"/>
      <c r="U612" s="4"/>
      <c r="V612" s="4"/>
      <c r="X612" s="4"/>
      <c r="Y612" s="4"/>
      <c r="AA612" s="4"/>
      <c r="AB612" s="4"/>
      <c r="AC612" s="4"/>
      <c r="AD612" s="20"/>
    </row>
    <row r="613" spans="14:30" x14ac:dyDescent="0.25">
      <c r="N613" s="9"/>
      <c r="P613" s="33"/>
      <c r="Q613" s="4"/>
      <c r="R613" s="4"/>
      <c r="S613" s="4"/>
      <c r="T613" s="4"/>
      <c r="U613" s="4"/>
      <c r="V613" s="4"/>
      <c r="X613" s="4"/>
      <c r="Y613" s="4"/>
      <c r="AA613" s="4"/>
      <c r="AB613" s="4"/>
      <c r="AC613" s="4"/>
      <c r="AD613" s="20"/>
    </row>
    <row r="614" spans="14:30" x14ac:dyDescent="0.25">
      <c r="N614" s="9"/>
      <c r="P614" s="33"/>
      <c r="Q614" s="4"/>
      <c r="R614" s="4"/>
      <c r="S614" s="4"/>
      <c r="T614" s="4"/>
      <c r="U614" s="4"/>
      <c r="V614" s="4"/>
      <c r="X614" s="4"/>
      <c r="Y614" s="4"/>
      <c r="AA614" s="4"/>
      <c r="AB614" s="4"/>
      <c r="AC614" s="4"/>
      <c r="AD614" s="20"/>
    </row>
    <row r="615" spans="14:30" x14ac:dyDescent="0.25">
      <c r="N615" s="9"/>
      <c r="P615" s="33"/>
      <c r="Q615" s="4"/>
      <c r="R615" s="4"/>
      <c r="S615" s="4"/>
      <c r="T615" s="4"/>
      <c r="U615" s="4"/>
      <c r="V615" s="4"/>
      <c r="X615" s="4"/>
      <c r="Y615" s="4"/>
      <c r="AA615" s="4"/>
      <c r="AB615" s="4"/>
      <c r="AC615" s="4"/>
      <c r="AD615" s="20"/>
    </row>
    <row r="616" spans="14:30" x14ac:dyDescent="0.25">
      <c r="N616" s="9"/>
      <c r="P616" s="33"/>
      <c r="Q616" s="4"/>
      <c r="R616" s="4"/>
      <c r="S616" s="4"/>
      <c r="T616" s="4"/>
      <c r="U616" s="4"/>
      <c r="V616" s="4"/>
      <c r="X616" s="4"/>
      <c r="Y616" s="4"/>
      <c r="AA616" s="4"/>
      <c r="AB616" s="4"/>
      <c r="AC616" s="4"/>
      <c r="AD616" s="20"/>
    </row>
    <row r="617" spans="14:30" x14ac:dyDescent="0.25">
      <c r="N617" s="9"/>
      <c r="P617" s="33"/>
      <c r="Q617" s="4"/>
      <c r="R617" s="4"/>
      <c r="S617" s="4"/>
      <c r="T617" s="4"/>
      <c r="U617" s="4"/>
      <c r="V617" s="4"/>
      <c r="X617" s="4"/>
      <c r="Y617" s="4"/>
      <c r="AA617" s="4"/>
      <c r="AB617" s="4"/>
      <c r="AC617" s="4"/>
      <c r="AD617" s="20"/>
    </row>
    <row r="618" spans="14:30" x14ac:dyDescent="0.25">
      <c r="N618" s="9"/>
      <c r="P618" s="33"/>
      <c r="Q618" s="4"/>
      <c r="R618" s="4"/>
      <c r="S618" s="4"/>
      <c r="T618" s="4"/>
      <c r="U618" s="4"/>
      <c r="V618" s="4"/>
      <c r="X618" s="4"/>
      <c r="Y618" s="4"/>
      <c r="AA618" s="4"/>
      <c r="AB618" s="4"/>
      <c r="AC618" s="4"/>
      <c r="AD618" s="20"/>
    </row>
    <row r="619" spans="14:30" x14ac:dyDescent="0.25">
      <c r="N619" s="9"/>
      <c r="P619" s="33"/>
      <c r="Q619" s="4"/>
      <c r="R619" s="4"/>
      <c r="S619" s="4"/>
      <c r="T619" s="4"/>
      <c r="U619" s="4"/>
      <c r="V619" s="4"/>
      <c r="X619" s="4"/>
      <c r="Y619" s="4"/>
      <c r="AA619" s="4"/>
      <c r="AB619" s="4"/>
      <c r="AC619" s="4"/>
      <c r="AD619" s="20"/>
    </row>
    <row r="620" spans="14:30" x14ac:dyDescent="0.25">
      <c r="N620" s="9"/>
      <c r="P620" s="33"/>
      <c r="Q620" s="4"/>
      <c r="R620" s="4"/>
      <c r="S620" s="4"/>
      <c r="T620" s="4"/>
      <c r="U620" s="4"/>
      <c r="V620" s="4"/>
      <c r="X620" s="4"/>
      <c r="Y620" s="4"/>
      <c r="AA620" s="4"/>
      <c r="AB620" s="4"/>
      <c r="AC620" s="4"/>
      <c r="AD620" s="20"/>
    </row>
    <row r="621" spans="14:30" x14ac:dyDescent="0.25">
      <c r="N621" s="9"/>
      <c r="P621" s="33"/>
      <c r="Q621" s="4"/>
      <c r="R621" s="4"/>
      <c r="S621" s="4"/>
      <c r="T621" s="4"/>
      <c r="U621" s="4"/>
      <c r="V621" s="4"/>
      <c r="X621" s="4"/>
      <c r="Y621" s="4"/>
      <c r="AA621" s="4"/>
      <c r="AB621" s="4"/>
      <c r="AC621" s="4"/>
      <c r="AD621" s="20"/>
    </row>
    <row r="622" spans="14:30" x14ac:dyDescent="0.25">
      <c r="N622" s="9"/>
      <c r="P622" s="33"/>
      <c r="Q622" s="4"/>
      <c r="R622" s="4"/>
      <c r="S622" s="4"/>
      <c r="T622" s="4"/>
      <c r="U622" s="4"/>
      <c r="V622" s="4"/>
      <c r="X622" s="4"/>
      <c r="Y622" s="4"/>
      <c r="AA622" s="4"/>
      <c r="AB622" s="4"/>
      <c r="AC622" s="4"/>
      <c r="AD622" s="20"/>
    </row>
    <row r="623" spans="14:30" x14ac:dyDescent="0.25">
      <c r="N623" s="9"/>
      <c r="P623" s="33"/>
      <c r="Q623" s="4"/>
      <c r="R623" s="4"/>
      <c r="S623" s="4"/>
      <c r="T623" s="4"/>
      <c r="U623" s="4"/>
      <c r="V623" s="4"/>
      <c r="X623" s="4"/>
      <c r="Y623" s="4"/>
      <c r="AA623" s="4"/>
      <c r="AB623" s="4"/>
      <c r="AC623" s="4"/>
      <c r="AD623" s="20"/>
    </row>
    <row r="624" spans="14:30" x14ac:dyDescent="0.25">
      <c r="N624" s="9"/>
      <c r="P624" s="33"/>
      <c r="Q624" s="4"/>
      <c r="R624" s="4"/>
      <c r="S624" s="4"/>
      <c r="T624" s="4"/>
      <c r="U624" s="4"/>
      <c r="V624" s="4"/>
      <c r="X624" s="4"/>
      <c r="Y624" s="4"/>
      <c r="AA624" s="4"/>
      <c r="AB624" s="4"/>
      <c r="AC624" s="4"/>
      <c r="AD624" s="20"/>
    </row>
    <row r="625" spans="14:30" x14ac:dyDescent="0.25">
      <c r="N625" s="9"/>
      <c r="P625" s="33"/>
      <c r="Q625" s="4"/>
      <c r="R625" s="4"/>
      <c r="S625" s="4"/>
      <c r="T625" s="4"/>
      <c r="U625" s="4"/>
      <c r="V625" s="4"/>
      <c r="X625" s="4"/>
      <c r="Y625" s="4"/>
      <c r="AA625" s="4"/>
      <c r="AB625" s="4"/>
      <c r="AC625" s="4"/>
      <c r="AD625" s="20"/>
    </row>
    <row r="626" spans="14:30" x14ac:dyDescent="0.25">
      <c r="N626" s="9"/>
      <c r="P626" s="33"/>
      <c r="Q626" s="4"/>
      <c r="R626" s="4"/>
      <c r="S626" s="4"/>
      <c r="T626" s="4"/>
      <c r="U626" s="4"/>
      <c r="V626" s="4"/>
      <c r="X626" s="4"/>
      <c r="Y626" s="4"/>
      <c r="AA626" s="4"/>
      <c r="AB626" s="4"/>
      <c r="AC626" s="4"/>
      <c r="AD626" s="20"/>
    </row>
    <row r="627" spans="14:30" x14ac:dyDescent="0.25">
      <c r="N627" s="9"/>
      <c r="P627" s="33"/>
      <c r="Q627" s="4"/>
      <c r="R627" s="4"/>
      <c r="S627" s="4"/>
      <c r="T627" s="4"/>
      <c r="U627" s="4"/>
      <c r="V627" s="4"/>
      <c r="X627" s="4"/>
      <c r="Y627" s="4"/>
      <c r="AA627" s="4"/>
      <c r="AB627" s="4"/>
      <c r="AC627" s="4"/>
      <c r="AD627" s="20"/>
    </row>
    <row r="628" spans="14:30" x14ac:dyDescent="0.25">
      <c r="N628" s="9"/>
      <c r="P628" s="33"/>
      <c r="Q628" s="4"/>
      <c r="R628" s="4"/>
      <c r="S628" s="4"/>
      <c r="T628" s="4"/>
      <c r="U628" s="4"/>
      <c r="V628" s="4"/>
      <c r="X628" s="4"/>
      <c r="Y628" s="4"/>
      <c r="AA628" s="4"/>
      <c r="AB628" s="4"/>
      <c r="AC628" s="4"/>
      <c r="AD628" s="20"/>
    </row>
    <row r="629" spans="14:30" x14ac:dyDescent="0.25">
      <c r="N629" s="9"/>
      <c r="P629" s="33"/>
      <c r="Q629" s="4"/>
      <c r="R629" s="4"/>
      <c r="S629" s="4"/>
      <c r="T629" s="4"/>
      <c r="U629" s="4"/>
      <c r="V629" s="4"/>
      <c r="X629" s="4"/>
      <c r="Y629" s="4"/>
      <c r="AA629" s="4"/>
      <c r="AB629" s="4"/>
      <c r="AC629" s="4"/>
      <c r="AD629" s="20"/>
    </row>
    <row r="630" spans="14:30" x14ac:dyDescent="0.25">
      <c r="N630" s="9"/>
      <c r="P630" s="33"/>
      <c r="Q630" s="4"/>
      <c r="R630" s="4"/>
      <c r="S630" s="4"/>
      <c r="T630" s="4"/>
      <c r="U630" s="4"/>
      <c r="V630" s="4"/>
      <c r="X630" s="4"/>
      <c r="Y630" s="4"/>
      <c r="AA630" s="4"/>
      <c r="AB630" s="4"/>
      <c r="AC630" s="4"/>
      <c r="AD630" s="20"/>
    </row>
    <row r="631" spans="14:30" x14ac:dyDescent="0.25">
      <c r="N631" s="9"/>
      <c r="P631" s="33"/>
      <c r="Q631" s="4"/>
      <c r="R631" s="4"/>
      <c r="S631" s="4"/>
      <c r="T631" s="4"/>
      <c r="U631" s="4"/>
      <c r="V631" s="4"/>
      <c r="X631" s="4"/>
      <c r="Y631" s="4"/>
      <c r="AA631" s="4"/>
      <c r="AB631" s="4"/>
      <c r="AC631" s="4"/>
      <c r="AD631" s="20"/>
    </row>
    <row r="632" spans="14:30" x14ac:dyDescent="0.25">
      <c r="N632" s="9"/>
      <c r="P632" s="33"/>
      <c r="Q632" s="4"/>
      <c r="R632" s="4"/>
      <c r="S632" s="4"/>
      <c r="T632" s="4"/>
      <c r="U632" s="4"/>
      <c r="V632" s="4"/>
      <c r="X632" s="4"/>
      <c r="Y632" s="4"/>
      <c r="AA632" s="4"/>
      <c r="AB632" s="4"/>
      <c r="AC632" s="4"/>
      <c r="AD632" s="20"/>
    </row>
    <row r="633" spans="14:30" x14ac:dyDescent="0.25">
      <c r="N633" s="9"/>
      <c r="P633" s="33"/>
      <c r="Q633" s="4"/>
      <c r="R633" s="4"/>
      <c r="S633" s="4"/>
      <c r="T633" s="4"/>
      <c r="U633" s="4"/>
      <c r="V633" s="4"/>
      <c r="X633" s="4"/>
      <c r="Y633" s="4"/>
      <c r="AA633" s="4"/>
      <c r="AB633" s="4"/>
      <c r="AC633" s="4"/>
      <c r="AD633" s="20"/>
    </row>
    <row r="634" spans="14:30" x14ac:dyDescent="0.25">
      <c r="N634" s="9"/>
      <c r="P634" s="33"/>
      <c r="Q634" s="4"/>
      <c r="R634" s="4"/>
      <c r="S634" s="4"/>
      <c r="T634" s="4"/>
      <c r="U634" s="4"/>
      <c r="V634" s="4"/>
      <c r="X634" s="4"/>
      <c r="Y634" s="4"/>
      <c r="AA634" s="4"/>
      <c r="AB634" s="4"/>
      <c r="AC634" s="4"/>
      <c r="AD634" s="20"/>
    </row>
    <row r="635" spans="14:30" x14ac:dyDescent="0.25">
      <c r="N635" s="9"/>
      <c r="P635" s="33"/>
      <c r="Q635" s="4"/>
      <c r="R635" s="4"/>
      <c r="S635" s="4"/>
      <c r="T635" s="4"/>
      <c r="U635" s="4"/>
      <c r="V635" s="4"/>
      <c r="X635" s="4"/>
      <c r="Y635" s="4"/>
      <c r="AA635" s="4"/>
      <c r="AB635" s="4"/>
      <c r="AC635" s="4"/>
      <c r="AD635" s="20"/>
    </row>
    <row r="636" spans="14:30" x14ac:dyDescent="0.25">
      <c r="N636" s="9"/>
      <c r="P636" s="33"/>
      <c r="Q636" s="4"/>
      <c r="R636" s="4"/>
      <c r="S636" s="4"/>
      <c r="T636" s="4"/>
      <c r="U636" s="4"/>
      <c r="V636" s="4"/>
      <c r="X636" s="4"/>
      <c r="Y636" s="4"/>
      <c r="AA636" s="4"/>
      <c r="AB636" s="4"/>
      <c r="AC636" s="4"/>
      <c r="AD636" s="20"/>
    </row>
    <row r="637" spans="14:30" x14ac:dyDescent="0.25">
      <c r="N637" s="9"/>
      <c r="P637" s="33"/>
      <c r="Q637" s="4"/>
      <c r="R637" s="4"/>
      <c r="S637" s="4"/>
      <c r="T637" s="4"/>
      <c r="U637" s="4"/>
      <c r="V637" s="4"/>
      <c r="X637" s="4"/>
      <c r="Y637" s="4"/>
      <c r="AA637" s="4"/>
      <c r="AB637" s="4"/>
      <c r="AC637" s="4"/>
      <c r="AD637" s="20"/>
    </row>
    <row r="638" spans="14:30" x14ac:dyDescent="0.25">
      <c r="N638" s="9"/>
      <c r="P638" s="33"/>
      <c r="Q638" s="4"/>
      <c r="R638" s="4"/>
      <c r="S638" s="4"/>
      <c r="T638" s="4"/>
      <c r="U638" s="4"/>
      <c r="V638" s="4"/>
      <c r="X638" s="4"/>
      <c r="Y638" s="4"/>
      <c r="AA638" s="4"/>
      <c r="AB638" s="4"/>
      <c r="AC638" s="4"/>
      <c r="AD638" s="20"/>
    </row>
    <row r="639" spans="14:30" x14ac:dyDescent="0.25">
      <c r="N639" s="9"/>
      <c r="P639" s="33"/>
      <c r="Q639" s="4"/>
      <c r="R639" s="4"/>
      <c r="S639" s="4"/>
      <c r="T639" s="4"/>
      <c r="U639" s="4"/>
      <c r="V639" s="4"/>
      <c r="X639" s="4"/>
      <c r="Y639" s="4"/>
      <c r="AA639" s="4"/>
      <c r="AB639" s="4"/>
      <c r="AC639" s="4"/>
      <c r="AD639" s="20"/>
    </row>
    <row r="640" spans="14:30" x14ac:dyDescent="0.25">
      <c r="N640" s="9"/>
      <c r="P640" s="33"/>
      <c r="Q640" s="4"/>
      <c r="R640" s="4"/>
      <c r="S640" s="4"/>
      <c r="T640" s="4"/>
      <c r="U640" s="4"/>
      <c r="V640" s="4"/>
      <c r="X640" s="4"/>
      <c r="Y640" s="4"/>
      <c r="AA640" s="4"/>
      <c r="AB640" s="4"/>
      <c r="AC640" s="4"/>
      <c r="AD640" s="20"/>
    </row>
    <row r="641" spans="14:30" x14ac:dyDescent="0.25">
      <c r="N641" s="9"/>
      <c r="P641" s="33"/>
      <c r="Q641" s="4"/>
      <c r="R641" s="4"/>
      <c r="S641" s="4"/>
      <c r="T641" s="4"/>
      <c r="U641" s="4"/>
      <c r="V641" s="4"/>
      <c r="X641" s="4"/>
      <c r="Y641" s="4"/>
      <c r="AA641" s="4"/>
      <c r="AB641" s="4"/>
      <c r="AC641" s="4"/>
      <c r="AD641" s="20"/>
    </row>
    <row r="642" spans="14:30" x14ac:dyDescent="0.25">
      <c r="N642" s="9"/>
      <c r="P642" s="33"/>
      <c r="Q642" s="4"/>
      <c r="R642" s="4"/>
      <c r="S642" s="4"/>
      <c r="T642" s="4"/>
      <c r="U642" s="4"/>
      <c r="V642" s="4"/>
      <c r="X642" s="4"/>
      <c r="Y642" s="4"/>
      <c r="AA642" s="4"/>
      <c r="AB642" s="4"/>
      <c r="AC642" s="4"/>
      <c r="AD642" s="20"/>
    </row>
    <row r="643" spans="14:30" x14ac:dyDescent="0.25">
      <c r="N643" s="9"/>
      <c r="P643" s="33"/>
      <c r="Q643" s="4"/>
      <c r="R643" s="4"/>
      <c r="S643" s="4"/>
      <c r="T643" s="4"/>
      <c r="U643" s="4"/>
      <c r="V643" s="4"/>
      <c r="X643" s="4"/>
      <c r="Y643" s="4"/>
      <c r="AA643" s="4"/>
      <c r="AB643" s="4"/>
      <c r="AC643" s="4"/>
      <c r="AD643" s="20"/>
    </row>
    <row r="644" spans="14:30" x14ac:dyDescent="0.25">
      <c r="N644" s="9"/>
      <c r="P644" s="33"/>
      <c r="Q644" s="4"/>
      <c r="R644" s="4"/>
      <c r="S644" s="4"/>
      <c r="T644" s="4"/>
      <c r="U644" s="4"/>
      <c r="V644" s="4"/>
      <c r="X644" s="4"/>
      <c r="Y644" s="4"/>
      <c r="AA644" s="4"/>
      <c r="AB644" s="4"/>
      <c r="AC644" s="4"/>
      <c r="AD644" s="20"/>
    </row>
    <row r="645" spans="14:30" x14ac:dyDescent="0.25">
      <c r="N645" s="9"/>
      <c r="P645" s="33"/>
      <c r="Q645" s="4"/>
      <c r="R645" s="4"/>
      <c r="S645" s="4"/>
      <c r="T645" s="4"/>
      <c r="U645" s="4"/>
      <c r="V645" s="4"/>
      <c r="X645" s="4"/>
      <c r="Y645" s="4"/>
      <c r="AA645" s="4"/>
      <c r="AB645" s="4"/>
      <c r="AC645" s="4"/>
      <c r="AD645" s="20"/>
    </row>
    <row r="646" spans="14:30" x14ac:dyDescent="0.25">
      <c r="N646" s="9"/>
      <c r="P646" s="33"/>
      <c r="Q646" s="4"/>
      <c r="R646" s="4"/>
      <c r="S646" s="4"/>
      <c r="T646" s="4"/>
      <c r="U646" s="4"/>
      <c r="V646" s="4"/>
      <c r="X646" s="4"/>
      <c r="Y646" s="4"/>
      <c r="AA646" s="4"/>
      <c r="AB646" s="4"/>
      <c r="AC646" s="4"/>
      <c r="AD646" s="20"/>
    </row>
    <row r="647" spans="14:30" x14ac:dyDescent="0.25">
      <c r="N647" s="9"/>
      <c r="P647" s="33"/>
      <c r="Q647" s="4"/>
      <c r="R647" s="4"/>
      <c r="S647" s="4"/>
      <c r="T647" s="4"/>
      <c r="U647" s="4"/>
      <c r="V647" s="4"/>
      <c r="X647" s="4"/>
      <c r="Y647" s="4"/>
      <c r="AA647" s="4"/>
      <c r="AB647" s="4"/>
      <c r="AC647" s="4"/>
      <c r="AD647" s="20"/>
    </row>
    <row r="648" spans="14:30" x14ac:dyDescent="0.25">
      <c r="N648" s="9"/>
      <c r="P648" s="33"/>
      <c r="Q648" s="4"/>
      <c r="R648" s="4"/>
      <c r="S648" s="4"/>
      <c r="T648" s="4"/>
      <c r="U648" s="4"/>
      <c r="V648" s="4"/>
      <c r="X648" s="4"/>
      <c r="Y648" s="4"/>
      <c r="AA648" s="4"/>
      <c r="AB648" s="4"/>
      <c r="AC648" s="4"/>
      <c r="AD648" s="20"/>
    </row>
    <row r="649" spans="14:30" x14ac:dyDescent="0.25">
      <c r="N649" s="9"/>
      <c r="P649" s="33"/>
      <c r="Q649" s="4"/>
      <c r="R649" s="4"/>
      <c r="S649" s="4"/>
      <c r="T649" s="4"/>
      <c r="U649" s="4"/>
      <c r="V649" s="4"/>
      <c r="X649" s="4"/>
      <c r="Y649" s="4"/>
      <c r="AA649" s="4"/>
      <c r="AB649" s="4"/>
      <c r="AC649" s="4"/>
      <c r="AD649" s="20"/>
    </row>
    <row r="650" spans="14:30" x14ac:dyDescent="0.25">
      <c r="N650" s="9"/>
      <c r="P650" s="33"/>
      <c r="Q650" s="4"/>
      <c r="R650" s="4"/>
      <c r="S650" s="4"/>
      <c r="T650" s="4"/>
      <c r="U650" s="4"/>
      <c r="V650" s="4"/>
      <c r="X650" s="4"/>
      <c r="Y650" s="4"/>
      <c r="AA650" s="4"/>
      <c r="AB650" s="4"/>
      <c r="AC650" s="4"/>
      <c r="AD650" s="20"/>
    </row>
    <row r="651" spans="14:30" x14ac:dyDescent="0.25">
      <c r="N651" s="9"/>
      <c r="P651" s="33"/>
      <c r="Q651" s="4"/>
      <c r="R651" s="4"/>
      <c r="S651" s="4"/>
      <c r="T651" s="4"/>
      <c r="U651" s="4"/>
      <c r="V651" s="4"/>
      <c r="X651" s="4"/>
      <c r="Y651" s="4"/>
      <c r="AA651" s="4"/>
      <c r="AB651" s="4"/>
      <c r="AC651" s="4"/>
      <c r="AD651" s="20"/>
    </row>
    <row r="652" spans="14:30" x14ac:dyDescent="0.25">
      <c r="N652" s="9"/>
      <c r="P652" s="33"/>
      <c r="Q652" s="4"/>
      <c r="R652" s="4"/>
      <c r="S652" s="4"/>
      <c r="T652" s="4"/>
      <c r="U652" s="4"/>
      <c r="V652" s="4"/>
      <c r="X652" s="4"/>
      <c r="Y652" s="4"/>
      <c r="AA652" s="4"/>
      <c r="AB652" s="4"/>
      <c r="AC652" s="4"/>
      <c r="AD652" s="20"/>
    </row>
    <row r="653" spans="14:30" x14ac:dyDescent="0.25">
      <c r="N653" s="9"/>
      <c r="P653" s="33"/>
      <c r="Q653" s="4"/>
      <c r="R653" s="4"/>
      <c r="S653" s="4"/>
      <c r="T653" s="4"/>
      <c r="U653" s="4"/>
      <c r="V653" s="4"/>
      <c r="X653" s="4"/>
      <c r="Y653" s="4"/>
      <c r="AA653" s="4"/>
      <c r="AB653" s="4"/>
      <c r="AC653" s="4"/>
      <c r="AD653" s="20"/>
    </row>
    <row r="654" spans="14:30" x14ac:dyDescent="0.25">
      <c r="N654" s="9"/>
      <c r="P654" s="33"/>
      <c r="Q654" s="4"/>
      <c r="R654" s="4"/>
      <c r="S654" s="4"/>
      <c r="T654" s="4"/>
      <c r="U654" s="4"/>
      <c r="V654" s="4"/>
      <c r="X654" s="4"/>
      <c r="Y654" s="4"/>
      <c r="AA654" s="4"/>
      <c r="AB654" s="4"/>
      <c r="AC654" s="4"/>
      <c r="AD654" s="20"/>
    </row>
    <row r="655" spans="14:30" x14ac:dyDescent="0.25">
      <c r="N655" s="9"/>
      <c r="P655" s="33"/>
      <c r="Q655" s="4"/>
      <c r="R655" s="4"/>
      <c r="S655" s="4"/>
      <c r="T655" s="4"/>
      <c r="U655" s="4"/>
      <c r="V655" s="4"/>
      <c r="X655" s="4"/>
      <c r="Y655" s="4"/>
      <c r="AA655" s="4"/>
      <c r="AB655" s="4"/>
      <c r="AC655" s="4"/>
      <c r="AD655" s="20"/>
    </row>
    <row r="656" spans="14:30" x14ac:dyDescent="0.25">
      <c r="N656" s="9"/>
      <c r="P656" s="33"/>
      <c r="Q656" s="4"/>
      <c r="R656" s="4"/>
      <c r="S656" s="4"/>
      <c r="T656" s="4"/>
      <c r="U656" s="4"/>
      <c r="V656" s="4"/>
      <c r="X656" s="4"/>
      <c r="Y656" s="4"/>
      <c r="AA656" s="4"/>
      <c r="AB656" s="4"/>
      <c r="AC656" s="4"/>
      <c r="AD656" s="20"/>
    </row>
    <row r="657" spans="14:30" x14ac:dyDescent="0.25">
      <c r="N657" s="9"/>
      <c r="P657" s="33"/>
      <c r="Q657" s="4"/>
      <c r="R657" s="4"/>
      <c r="S657" s="4"/>
      <c r="T657" s="4"/>
      <c r="U657" s="4"/>
      <c r="V657" s="4"/>
      <c r="X657" s="4"/>
      <c r="Y657" s="4"/>
      <c r="AA657" s="4"/>
      <c r="AB657" s="4"/>
      <c r="AC657" s="4"/>
      <c r="AD657" s="20"/>
    </row>
    <row r="658" spans="14:30" x14ac:dyDescent="0.25">
      <c r="N658" s="9"/>
      <c r="P658" s="33"/>
      <c r="Q658" s="4"/>
      <c r="R658" s="4"/>
      <c r="S658" s="4"/>
      <c r="T658" s="4"/>
      <c r="U658" s="4"/>
      <c r="V658" s="4"/>
      <c r="X658" s="4"/>
      <c r="Y658" s="4"/>
      <c r="AA658" s="4"/>
      <c r="AB658" s="4"/>
      <c r="AC658" s="4"/>
      <c r="AD658" s="20"/>
    </row>
    <row r="659" spans="14:30" x14ac:dyDescent="0.25">
      <c r="N659" s="9"/>
      <c r="P659" s="33"/>
      <c r="Q659" s="4"/>
      <c r="R659" s="4"/>
      <c r="S659" s="4"/>
      <c r="T659" s="4"/>
      <c r="U659" s="4"/>
      <c r="V659" s="4"/>
      <c r="X659" s="4"/>
      <c r="Y659" s="4"/>
      <c r="AA659" s="4"/>
      <c r="AB659" s="4"/>
      <c r="AC659" s="4"/>
      <c r="AD659" s="20"/>
    </row>
    <row r="660" spans="14:30" x14ac:dyDescent="0.25">
      <c r="N660" s="9"/>
      <c r="P660" s="33"/>
      <c r="Q660" s="4"/>
      <c r="R660" s="4"/>
      <c r="S660" s="4"/>
      <c r="T660" s="4"/>
      <c r="U660" s="4"/>
      <c r="V660" s="4"/>
      <c r="X660" s="4"/>
      <c r="Y660" s="4"/>
      <c r="AA660" s="4"/>
      <c r="AB660" s="4"/>
      <c r="AC660" s="4"/>
      <c r="AD660" s="20"/>
    </row>
    <row r="661" spans="14:30" x14ac:dyDescent="0.25">
      <c r="N661" s="9"/>
      <c r="P661" s="33"/>
      <c r="Q661" s="4"/>
      <c r="R661" s="4"/>
      <c r="S661" s="4"/>
      <c r="T661" s="4"/>
      <c r="U661" s="4"/>
      <c r="V661" s="4"/>
      <c r="X661" s="4"/>
      <c r="Y661" s="4"/>
      <c r="AA661" s="4"/>
      <c r="AB661" s="4"/>
      <c r="AC661" s="4"/>
      <c r="AD661" s="20"/>
    </row>
    <row r="662" spans="14:30" x14ac:dyDescent="0.25">
      <c r="N662" s="9"/>
      <c r="P662" s="33"/>
      <c r="Q662" s="4"/>
      <c r="R662" s="4"/>
      <c r="S662" s="4"/>
      <c r="T662" s="4"/>
      <c r="U662" s="4"/>
      <c r="V662" s="4"/>
      <c r="X662" s="4"/>
      <c r="Y662" s="4"/>
      <c r="AA662" s="4"/>
      <c r="AB662" s="4"/>
      <c r="AC662" s="4"/>
      <c r="AD662" s="20"/>
    </row>
    <row r="663" spans="14:30" x14ac:dyDescent="0.25">
      <c r="N663" s="9"/>
      <c r="P663" s="33"/>
      <c r="Q663" s="4"/>
      <c r="R663" s="4"/>
      <c r="S663" s="4"/>
      <c r="T663" s="4"/>
      <c r="U663" s="4"/>
      <c r="V663" s="4"/>
      <c r="X663" s="4"/>
      <c r="Y663" s="4"/>
      <c r="AA663" s="4"/>
      <c r="AB663" s="4"/>
      <c r="AC663" s="4"/>
      <c r="AD663" s="20"/>
    </row>
    <row r="664" spans="14:30" x14ac:dyDescent="0.25">
      <c r="N664" s="9"/>
      <c r="P664" s="33"/>
      <c r="Q664" s="4"/>
      <c r="R664" s="4"/>
      <c r="S664" s="4"/>
      <c r="T664" s="4"/>
      <c r="U664" s="4"/>
      <c r="V664" s="4"/>
      <c r="X664" s="4"/>
      <c r="Y664" s="4"/>
      <c r="AA664" s="4"/>
      <c r="AB664" s="4"/>
      <c r="AC664" s="4"/>
      <c r="AD664" s="20"/>
    </row>
    <row r="665" spans="14:30" x14ac:dyDescent="0.25">
      <c r="N665" s="9"/>
      <c r="P665" s="33"/>
      <c r="Q665" s="4"/>
      <c r="R665" s="4"/>
      <c r="S665" s="4"/>
      <c r="T665" s="4"/>
      <c r="U665" s="4"/>
      <c r="V665" s="4"/>
      <c r="X665" s="4"/>
      <c r="Y665" s="4"/>
      <c r="AA665" s="4"/>
      <c r="AB665" s="4"/>
      <c r="AC665" s="4"/>
      <c r="AD665" s="20"/>
    </row>
    <row r="666" spans="14:30" x14ac:dyDescent="0.25">
      <c r="N666" s="9"/>
      <c r="P666" s="33"/>
      <c r="Q666" s="4"/>
      <c r="R666" s="4"/>
      <c r="S666" s="4"/>
      <c r="T666" s="4"/>
      <c r="U666" s="4"/>
      <c r="V666" s="4"/>
      <c r="X666" s="4"/>
      <c r="Y666" s="4"/>
      <c r="AA666" s="4"/>
      <c r="AB666" s="4"/>
      <c r="AC666" s="4"/>
      <c r="AD666" s="20"/>
    </row>
    <row r="667" spans="14:30" x14ac:dyDescent="0.25">
      <c r="N667" s="9"/>
      <c r="P667" s="33"/>
      <c r="Q667" s="4"/>
      <c r="R667" s="4"/>
      <c r="S667" s="4"/>
      <c r="T667" s="4"/>
      <c r="U667" s="4"/>
      <c r="V667" s="4"/>
      <c r="X667" s="4"/>
      <c r="Y667" s="4"/>
      <c r="AA667" s="4"/>
      <c r="AB667" s="4"/>
      <c r="AC667" s="4"/>
      <c r="AD667" s="20"/>
    </row>
    <row r="668" spans="14:30" x14ac:dyDescent="0.25">
      <c r="N668" s="9"/>
      <c r="P668" s="33"/>
      <c r="Q668" s="4"/>
      <c r="R668" s="4"/>
      <c r="S668" s="4"/>
      <c r="T668" s="4"/>
      <c r="U668" s="4"/>
      <c r="V668" s="4"/>
      <c r="X668" s="4"/>
      <c r="Y668" s="4"/>
      <c r="AA668" s="4"/>
      <c r="AB668" s="4"/>
      <c r="AC668" s="4"/>
      <c r="AD668" s="20"/>
    </row>
    <row r="669" spans="14:30" x14ac:dyDescent="0.25">
      <c r="N669" s="9"/>
      <c r="P669" s="33"/>
      <c r="Q669" s="4"/>
      <c r="R669" s="4"/>
      <c r="S669" s="4"/>
      <c r="T669" s="4"/>
      <c r="U669" s="4"/>
      <c r="V669" s="4"/>
      <c r="X669" s="4"/>
      <c r="Y669" s="4"/>
      <c r="AA669" s="4"/>
      <c r="AB669" s="4"/>
      <c r="AC669" s="4"/>
      <c r="AD669" s="20"/>
    </row>
    <row r="670" spans="14:30" x14ac:dyDescent="0.25">
      <c r="N670" s="9"/>
      <c r="P670" s="33"/>
      <c r="Q670" s="4"/>
      <c r="R670" s="4"/>
      <c r="S670" s="4"/>
      <c r="T670" s="4"/>
      <c r="U670" s="4"/>
      <c r="V670" s="4"/>
      <c r="X670" s="4"/>
      <c r="Y670" s="4"/>
      <c r="AA670" s="4"/>
      <c r="AB670" s="4"/>
      <c r="AC670" s="4"/>
      <c r="AD670" s="20"/>
    </row>
    <row r="671" spans="14:30" x14ac:dyDescent="0.25">
      <c r="N671" s="9"/>
      <c r="P671" s="33"/>
      <c r="Q671" s="4"/>
      <c r="R671" s="4"/>
      <c r="S671" s="4"/>
      <c r="T671" s="4"/>
      <c r="U671" s="4"/>
      <c r="V671" s="4"/>
      <c r="X671" s="4"/>
      <c r="Y671" s="4"/>
      <c r="AA671" s="4"/>
      <c r="AB671" s="4"/>
      <c r="AC671" s="4"/>
      <c r="AD671" s="20"/>
    </row>
    <row r="672" spans="14:30" x14ac:dyDescent="0.25">
      <c r="N672" s="9"/>
      <c r="P672" s="33"/>
      <c r="Q672" s="4"/>
      <c r="R672" s="4"/>
      <c r="S672" s="4"/>
      <c r="T672" s="4"/>
      <c r="U672" s="4"/>
      <c r="V672" s="4"/>
      <c r="X672" s="4"/>
      <c r="Y672" s="4"/>
      <c r="AA672" s="4"/>
      <c r="AB672" s="4"/>
      <c r="AC672" s="4"/>
      <c r="AD672" s="20"/>
    </row>
    <row r="673" spans="14:30" x14ac:dyDescent="0.25">
      <c r="N673" s="9"/>
      <c r="P673" s="33"/>
      <c r="Q673" s="4"/>
      <c r="R673" s="4"/>
      <c r="S673" s="4"/>
      <c r="T673" s="4"/>
      <c r="U673" s="4"/>
      <c r="V673" s="4"/>
      <c r="X673" s="4"/>
      <c r="Y673" s="4"/>
      <c r="AA673" s="4"/>
      <c r="AB673" s="4"/>
      <c r="AC673" s="4"/>
      <c r="AD673" s="20"/>
    </row>
    <row r="674" spans="14:30" x14ac:dyDescent="0.25">
      <c r="N674" s="9"/>
      <c r="P674" s="33"/>
      <c r="Q674" s="4"/>
      <c r="R674" s="4"/>
      <c r="S674" s="4"/>
      <c r="T674" s="4"/>
      <c r="U674" s="4"/>
      <c r="V674" s="4"/>
      <c r="X674" s="4"/>
      <c r="Y674" s="4"/>
      <c r="AA674" s="4"/>
      <c r="AB674" s="4"/>
      <c r="AC674" s="4"/>
      <c r="AD674" s="20"/>
    </row>
    <row r="675" spans="14:30" x14ac:dyDescent="0.25">
      <c r="N675" s="9"/>
      <c r="P675" s="33"/>
      <c r="Q675" s="4"/>
      <c r="R675" s="4"/>
      <c r="S675" s="4"/>
      <c r="T675" s="4"/>
      <c r="U675" s="4"/>
      <c r="V675" s="4"/>
      <c r="X675" s="4"/>
      <c r="Y675" s="4"/>
      <c r="AA675" s="4"/>
      <c r="AB675" s="4"/>
      <c r="AC675" s="4"/>
      <c r="AD675" s="20"/>
    </row>
    <row r="676" spans="14:30" x14ac:dyDescent="0.25">
      <c r="N676" s="9"/>
      <c r="P676" s="33"/>
      <c r="Q676" s="4"/>
      <c r="R676" s="4"/>
      <c r="S676" s="4"/>
      <c r="T676" s="4"/>
      <c r="U676" s="4"/>
      <c r="V676" s="4"/>
      <c r="X676" s="4"/>
      <c r="Y676" s="4"/>
      <c r="AA676" s="4"/>
      <c r="AB676" s="4"/>
      <c r="AC676" s="4"/>
      <c r="AD676" s="20"/>
    </row>
    <row r="677" spans="14:30" x14ac:dyDescent="0.25">
      <c r="N677" s="9"/>
      <c r="P677" s="33"/>
      <c r="Q677" s="4"/>
      <c r="R677" s="4"/>
      <c r="S677" s="4"/>
      <c r="T677" s="4"/>
      <c r="U677" s="4"/>
      <c r="V677" s="4"/>
      <c r="X677" s="4"/>
      <c r="Y677" s="4"/>
      <c r="AA677" s="4"/>
      <c r="AB677" s="4"/>
      <c r="AC677" s="4"/>
      <c r="AD677" s="20"/>
    </row>
    <row r="678" spans="14:30" x14ac:dyDescent="0.25">
      <c r="N678" s="9"/>
      <c r="P678" s="33"/>
      <c r="Q678" s="4"/>
      <c r="R678" s="4"/>
      <c r="S678" s="4"/>
      <c r="T678" s="4"/>
      <c r="U678" s="4"/>
      <c r="V678" s="4"/>
      <c r="X678" s="4"/>
      <c r="Y678" s="4"/>
      <c r="AA678" s="4"/>
      <c r="AB678" s="4"/>
      <c r="AC678" s="4"/>
      <c r="AD678" s="20"/>
    </row>
    <row r="679" spans="14:30" x14ac:dyDescent="0.25">
      <c r="N679" s="9"/>
      <c r="P679" s="33"/>
      <c r="Q679" s="4"/>
      <c r="R679" s="4"/>
      <c r="S679" s="4"/>
      <c r="T679" s="4"/>
      <c r="U679" s="4"/>
      <c r="V679" s="4"/>
      <c r="X679" s="4"/>
      <c r="Y679" s="4"/>
      <c r="AA679" s="4"/>
      <c r="AB679" s="4"/>
      <c r="AC679" s="4"/>
      <c r="AD679" s="20"/>
    </row>
    <row r="680" spans="14:30" x14ac:dyDescent="0.25">
      <c r="N680" s="9"/>
      <c r="P680" s="33"/>
      <c r="Q680" s="4"/>
      <c r="R680" s="4"/>
      <c r="S680" s="4"/>
      <c r="T680" s="4"/>
      <c r="U680" s="4"/>
      <c r="V680" s="4"/>
      <c r="X680" s="4"/>
      <c r="Y680" s="4"/>
      <c r="AA680" s="4"/>
      <c r="AB680" s="4"/>
      <c r="AC680" s="4"/>
      <c r="AD680" s="20"/>
    </row>
    <row r="681" spans="14:30" x14ac:dyDescent="0.25">
      <c r="N681" s="9"/>
      <c r="P681" s="33"/>
      <c r="Q681" s="4"/>
      <c r="R681" s="4"/>
      <c r="S681" s="4"/>
      <c r="T681" s="4"/>
      <c r="U681" s="4"/>
      <c r="V681" s="4"/>
      <c r="X681" s="4"/>
      <c r="Y681" s="4"/>
      <c r="AA681" s="4"/>
      <c r="AB681" s="4"/>
      <c r="AC681" s="4"/>
      <c r="AD681" s="20"/>
    </row>
    <row r="682" spans="14:30" x14ac:dyDescent="0.25">
      <c r="N682" s="9"/>
      <c r="P682" s="33"/>
      <c r="Q682" s="4"/>
      <c r="R682" s="4"/>
      <c r="S682" s="4"/>
      <c r="T682" s="4"/>
      <c r="U682" s="4"/>
      <c r="V682" s="4"/>
      <c r="X682" s="4"/>
      <c r="Y682" s="4"/>
      <c r="AA682" s="4"/>
      <c r="AB682" s="4"/>
      <c r="AC682" s="4"/>
      <c r="AD682" s="20"/>
    </row>
    <row r="683" spans="14:30" x14ac:dyDescent="0.25">
      <c r="N683" s="9"/>
      <c r="P683" s="33"/>
      <c r="Q683" s="4"/>
      <c r="R683" s="4"/>
      <c r="S683" s="4"/>
      <c r="T683" s="4"/>
      <c r="U683" s="4"/>
      <c r="V683" s="4"/>
      <c r="X683" s="4"/>
      <c r="Y683" s="4"/>
      <c r="AA683" s="4"/>
      <c r="AB683" s="4"/>
      <c r="AC683" s="4"/>
      <c r="AD683" s="20"/>
    </row>
    <row r="684" spans="14:30" x14ac:dyDescent="0.25">
      <c r="N684" s="9"/>
      <c r="P684" s="33"/>
      <c r="Q684" s="4"/>
      <c r="R684" s="4"/>
      <c r="S684" s="4"/>
      <c r="T684" s="4"/>
      <c r="U684" s="4"/>
      <c r="V684" s="4"/>
      <c r="X684" s="4"/>
      <c r="Y684" s="4"/>
      <c r="AA684" s="4"/>
      <c r="AB684" s="4"/>
      <c r="AC684" s="4"/>
      <c r="AD684" s="20"/>
    </row>
    <row r="685" spans="14:30" x14ac:dyDescent="0.25">
      <c r="N685" s="9"/>
      <c r="P685" s="33"/>
      <c r="Q685" s="4"/>
      <c r="R685" s="4"/>
      <c r="S685" s="4"/>
      <c r="T685" s="4"/>
      <c r="U685" s="4"/>
      <c r="V685" s="4"/>
      <c r="X685" s="4"/>
      <c r="Y685" s="4"/>
      <c r="AA685" s="4"/>
      <c r="AB685" s="4"/>
      <c r="AC685" s="4"/>
      <c r="AD685" s="20"/>
    </row>
    <row r="686" spans="14:30" x14ac:dyDescent="0.25">
      <c r="N686" s="9"/>
      <c r="P686" s="33"/>
      <c r="Q686" s="4"/>
      <c r="R686" s="4"/>
      <c r="S686" s="4"/>
      <c r="T686" s="4"/>
      <c r="U686" s="4"/>
      <c r="V686" s="4"/>
      <c r="X686" s="4"/>
      <c r="Y686" s="4"/>
      <c r="AA686" s="4"/>
      <c r="AB686" s="4"/>
      <c r="AC686" s="4"/>
      <c r="AD686" s="20"/>
    </row>
    <row r="687" spans="14:30" x14ac:dyDescent="0.25">
      <c r="N687" s="9"/>
      <c r="P687" s="33"/>
      <c r="Q687" s="4"/>
      <c r="R687" s="4"/>
      <c r="S687" s="4"/>
      <c r="T687" s="4"/>
      <c r="U687" s="4"/>
      <c r="V687" s="4"/>
      <c r="X687" s="4"/>
      <c r="Y687" s="4"/>
      <c r="AA687" s="4"/>
      <c r="AB687" s="4"/>
      <c r="AC687" s="4"/>
      <c r="AD687" s="20"/>
    </row>
    <row r="688" spans="14:30" x14ac:dyDescent="0.25">
      <c r="N688" s="9"/>
      <c r="P688" s="33"/>
      <c r="Q688" s="4"/>
      <c r="R688" s="4"/>
      <c r="S688" s="4"/>
      <c r="T688" s="4"/>
      <c r="U688" s="4"/>
      <c r="V688" s="4"/>
      <c r="X688" s="4"/>
      <c r="Y688" s="4"/>
      <c r="AA688" s="4"/>
      <c r="AB688" s="4"/>
      <c r="AC688" s="4"/>
      <c r="AD688" s="20"/>
    </row>
    <row r="689" spans="14:30" x14ac:dyDescent="0.25">
      <c r="N689" s="9"/>
      <c r="P689" s="33"/>
      <c r="Q689" s="4"/>
      <c r="R689" s="4"/>
      <c r="S689" s="4"/>
      <c r="T689" s="4"/>
      <c r="U689" s="4"/>
      <c r="V689" s="4"/>
      <c r="X689" s="4"/>
      <c r="Y689" s="4"/>
      <c r="AA689" s="4"/>
      <c r="AB689" s="4"/>
      <c r="AC689" s="4"/>
      <c r="AD689" s="20"/>
    </row>
    <row r="690" spans="14:30" x14ac:dyDescent="0.25">
      <c r="N690" s="9"/>
      <c r="P690" s="33"/>
      <c r="Q690" s="4"/>
      <c r="R690" s="4"/>
      <c r="S690" s="4"/>
      <c r="T690" s="4"/>
      <c r="U690" s="4"/>
      <c r="V690" s="4"/>
      <c r="X690" s="4"/>
      <c r="Y690" s="4"/>
      <c r="AA690" s="4"/>
      <c r="AB690" s="4"/>
      <c r="AC690" s="4"/>
      <c r="AD690" s="20"/>
    </row>
    <row r="691" spans="14:30" x14ac:dyDescent="0.25">
      <c r="N691" s="9"/>
      <c r="P691" s="33"/>
      <c r="Q691" s="4"/>
      <c r="R691" s="4"/>
      <c r="S691" s="4"/>
      <c r="T691" s="4"/>
      <c r="U691" s="4"/>
      <c r="V691" s="4"/>
      <c r="X691" s="4"/>
      <c r="Y691" s="4"/>
      <c r="AA691" s="4"/>
      <c r="AB691" s="4"/>
      <c r="AC691" s="4"/>
      <c r="AD691" s="20"/>
    </row>
    <row r="692" spans="14:30" x14ac:dyDescent="0.25">
      <c r="N692" s="9"/>
      <c r="P692" s="33"/>
      <c r="Q692" s="4"/>
      <c r="R692" s="4"/>
      <c r="S692" s="4"/>
      <c r="T692" s="4"/>
      <c r="U692" s="4"/>
      <c r="V692" s="4"/>
      <c r="X692" s="4"/>
      <c r="Y692" s="4"/>
      <c r="AA692" s="4"/>
      <c r="AB692" s="4"/>
      <c r="AC692" s="4"/>
      <c r="AD692" s="20"/>
    </row>
    <row r="693" spans="14:30" x14ac:dyDescent="0.25">
      <c r="N693" s="9"/>
      <c r="P693" s="33"/>
      <c r="Q693" s="4"/>
      <c r="R693" s="4"/>
      <c r="S693" s="4"/>
      <c r="T693" s="4"/>
      <c r="U693" s="4"/>
      <c r="V693" s="4"/>
      <c r="X693" s="4"/>
      <c r="Y693" s="4"/>
      <c r="AA693" s="4"/>
      <c r="AB693" s="4"/>
      <c r="AC693" s="4"/>
      <c r="AD693" s="20"/>
    </row>
    <row r="694" spans="14:30" x14ac:dyDescent="0.25">
      <c r="N694" s="9"/>
      <c r="P694" s="33"/>
      <c r="Q694" s="4"/>
      <c r="R694" s="4"/>
      <c r="S694" s="4"/>
      <c r="T694" s="4"/>
      <c r="U694" s="4"/>
      <c r="V694" s="4"/>
      <c r="X694" s="4"/>
      <c r="Y694" s="4"/>
      <c r="AA694" s="4"/>
      <c r="AB694" s="4"/>
      <c r="AC694" s="4"/>
      <c r="AD694" s="20"/>
    </row>
    <row r="695" spans="14:30" x14ac:dyDescent="0.25">
      <c r="N695" s="9"/>
      <c r="P695" s="33"/>
      <c r="Q695" s="4"/>
      <c r="R695" s="4"/>
      <c r="S695" s="4"/>
      <c r="T695" s="4"/>
      <c r="U695" s="4"/>
      <c r="V695" s="4"/>
      <c r="X695" s="4"/>
      <c r="Y695" s="4"/>
      <c r="AA695" s="4"/>
      <c r="AB695" s="4"/>
      <c r="AC695" s="4"/>
      <c r="AD695" s="20"/>
    </row>
    <row r="696" spans="14:30" x14ac:dyDescent="0.25">
      <c r="N696" s="9"/>
      <c r="P696" s="33"/>
      <c r="Q696" s="4"/>
      <c r="R696" s="4"/>
      <c r="S696" s="4"/>
      <c r="T696" s="4"/>
      <c r="U696" s="4"/>
      <c r="V696" s="4"/>
      <c r="X696" s="4"/>
      <c r="Y696" s="4"/>
      <c r="AA696" s="4"/>
      <c r="AB696" s="4"/>
      <c r="AC696" s="4"/>
      <c r="AD696" s="20"/>
    </row>
    <row r="697" spans="14:30" x14ac:dyDescent="0.25">
      <c r="N697" s="9"/>
      <c r="P697" s="33"/>
      <c r="Q697" s="4"/>
      <c r="R697" s="4"/>
      <c r="S697" s="4"/>
      <c r="T697" s="4"/>
      <c r="U697" s="4"/>
      <c r="V697" s="4"/>
      <c r="X697" s="4"/>
      <c r="Y697" s="4"/>
      <c r="AA697" s="4"/>
      <c r="AB697" s="4"/>
      <c r="AC697" s="4"/>
      <c r="AD697" s="20"/>
    </row>
    <row r="698" spans="14:30" x14ac:dyDescent="0.25">
      <c r="N698" s="9"/>
      <c r="P698" s="33"/>
      <c r="Q698" s="4"/>
      <c r="R698" s="4"/>
      <c r="S698" s="4"/>
      <c r="T698" s="4"/>
      <c r="U698" s="4"/>
      <c r="V698" s="4"/>
      <c r="X698" s="4"/>
      <c r="Y698" s="4"/>
      <c r="AA698" s="4"/>
      <c r="AB698" s="4"/>
      <c r="AC698" s="4"/>
      <c r="AD698" s="20"/>
    </row>
    <row r="699" spans="14:30" x14ac:dyDescent="0.25">
      <c r="N699" s="9"/>
      <c r="P699" s="33"/>
      <c r="Q699" s="4"/>
      <c r="R699" s="4"/>
      <c r="S699" s="4"/>
      <c r="T699" s="4"/>
      <c r="U699" s="4"/>
      <c r="V699" s="4"/>
      <c r="X699" s="4"/>
      <c r="Y699" s="4"/>
      <c r="AA699" s="4"/>
      <c r="AB699" s="4"/>
      <c r="AC699" s="4"/>
      <c r="AD699" s="20"/>
    </row>
    <row r="700" spans="14:30" x14ac:dyDescent="0.25">
      <c r="N700" s="9"/>
      <c r="P700" s="33"/>
      <c r="Q700" s="4"/>
      <c r="R700" s="4"/>
      <c r="S700" s="4"/>
      <c r="T700" s="4"/>
      <c r="U700" s="4"/>
      <c r="V700" s="4"/>
      <c r="X700" s="4"/>
      <c r="Y700" s="4"/>
      <c r="AA700" s="4"/>
      <c r="AB700" s="4"/>
      <c r="AC700" s="4"/>
      <c r="AD700" s="20"/>
    </row>
    <row r="701" spans="14:30" x14ac:dyDescent="0.25">
      <c r="N701" s="9"/>
      <c r="P701" s="33"/>
      <c r="Q701" s="4"/>
      <c r="R701" s="4"/>
      <c r="S701" s="4"/>
      <c r="T701" s="4"/>
      <c r="U701" s="4"/>
      <c r="V701" s="4"/>
      <c r="X701" s="4"/>
      <c r="Y701" s="4"/>
      <c r="AA701" s="4"/>
      <c r="AB701" s="4"/>
      <c r="AC701" s="4"/>
      <c r="AD701" s="20"/>
    </row>
    <row r="702" spans="14:30" x14ac:dyDescent="0.25">
      <c r="N702" s="9"/>
      <c r="P702" s="33"/>
      <c r="Q702" s="4"/>
      <c r="R702" s="4"/>
      <c r="S702" s="4"/>
      <c r="T702" s="4"/>
      <c r="U702" s="4"/>
      <c r="V702" s="4"/>
      <c r="X702" s="4"/>
      <c r="Y702" s="4"/>
      <c r="AA702" s="4"/>
      <c r="AB702" s="4"/>
      <c r="AC702" s="4"/>
      <c r="AD702" s="20"/>
    </row>
    <row r="703" spans="14:30" x14ac:dyDescent="0.25">
      <c r="N703" s="9"/>
      <c r="P703" s="33"/>
      <c r="Q703" s="4"/>
      <c r="R703" s="4"/>
      <c r="S703" s="4"/>
      <c r="T703" s="4"/>
      <c r="U703" s="4"/>
      <c r="V703" s="4"/>
      <c r="X703" s="4"/>
      <c r="Y703" s="4"/>
      <c r="AA703" s="4"/>
      <c r="AB703" s="4"/>
      <c r="AC703" s="4"/>
      <c r="AD703" s="20"/>
    </row>
    <row r="704" spans="14:30" x14ac:dyDescent="0.25">
      <c r="N704" s="9"/>
      <c r="P704" s="33"/>
      <c r="Q704" s="4"/>
      <c r="R704" s="4"/>
      <c r="S704" s="4"/>
      <c r="T704" s="4"/>
      <c r="U704" s="4"/>
      <c r="V704" s="4"/>
      <c r="X704" s="4"/>
      <c r="Y704" s="4"/>
      <c r="AA704" s="4"/>
      <c r="AB704" s="4"/>
      <c r="AC704" s="4"/>
      <c r="AD704" s="20"/>
    </row>
    <row r="705" spans="14:30" x14ac:dyDescent="0.25">
      <c r="N705" s="9"/>
      <c r="P705" s="33"/>
      <c r="Q705" s="4"/>
      <c r="R705" s="4"/>
      <c r="S705" s="4"/>
      <c r="T705" s="4"/>
      <c r="U705" s="4"/>
      <c r="V705" s="4"/>
      <c r="X705" s="4"/>
      <c r="Y705" s="4"/>
      <c r="AA705" s="4"/>
      <c r="AB705" s="4"/>
      <c r="AC705" s="4"/>
      <c r="AD705" s="20"/>
    </row>
    <row r="706" spans="14:30" x14ac:dyDescent="0.25">
      <c r="N706" s="9"/>
      <c r="P706" s="33"/>
      <c r="Q706" s="4"/>
      <c r="R706" s="4"/>
      <c r="S706" s="4"/>
      <c r="T706" s="4"/>
      <c r="U706" s="4"/>
      <c r="V706" s="4"/>
      <c r="X706" s="4"/>
      <c r="Y706" s="4"/>
      <c r="AA706" s="4"/>
      <c r="AB706" s="4"/>
      <c r="AC706" s="4"/>
      <c r="AD706" s="20"/>
    </row>
    <row r="707" spans="14:30" x14ac:dyDescent="0.25">
      <c r="N707" s="9"/>
      <c r="P707" s="33"/>
      <c r="Q707" s="4"/>
      <c r="R707" s="4"/>
      <c r="S707" s="4"/>
      <c r="T707" s="4"/>
      <c r="U707" s="4"/>
      <c r="V707" s="4"/>
      <c r="X707" s="4"/>
      <c r="Y707" s="4"/>
      <c r="AA707" s="4"/>
      <c r="AB707" s="4"/>
      <c r="AC707" s="4"/>
      <c r="AD707" s="20"/>
    </row>
    <row r="708" spans="14:30" x14ac:dyDescent="0.25">
      <c r="N708" s="9"/>
      <c r="P708" s="33"/>
      <c r="Q708" s="4"/>
      <c r="R708" s="4"/>
      <c r="S708" s="4"/>
      <c r="T708" s="4"/>
      <c r="U708" s="4"/>
      <c r="V708" s="4"/>
      <c r="X708" s="4"/>
      <c r="Y708" s="4"/>
      <c r="AA708" s="4"/>
      <c r="AB708" s="4"/>
      <c r="AC708" s="4"/>
      <c r="AD708" s="20"/>
    </row>
  </sheetData>
  <mergeCells count="46">
    <mergeCell ref="AZ17:BB17"/>
    <mergeCell ref="AS16:BE16"/>
    <mergeCell ref="AF16:AR16"/>
    <mergeCell ref="AG17:AI17"/>
    <mergeCell ref="AJ17:AL17"/>
    <mergeCell ref="AM17:AO17"/>
    <mergeCell ref="AP17:AR17"/>
    <mergeCell ref="E6:K6"/>
    <mergeCell ref="Q17:S17"/>
    <mergeCell ref="T17:V17"/>
    <mergeCell ref="W17:Y17"/>
    <mergeCell ref="P16:AE16"/>
    <mergeCell ref="Z17:AB17"/>
    <mergeCell ref="AC17:AE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AF4:AR4"/>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62"/>
  <sheetViews>
    <sheetView topLeftCell="A16" zoomScale="85" zoomScaleNormal="85" workbookViewId="0">
      <selection activeCell="K29" sqref="K29"/>
    </sheetView>
  </sheetViews>
  <sheetFormatPr defaultRowHeight="15" x14ac:dyDescent="0.25"/>
  <cols>
    <col min="1" max="1" width="26.85546875" customWidth="1"/>
    <col min="2" max="2" width="25.5703125" customWidth="1"/>
    <col min="3" max="3" width="10.140625" customWidth="1"/>
  </cols>
  <sheetData>
    <row r="1" spans="1:9" ht="27.75" x14ac:dyDescent="0.4">
      <c r="A1" s="213" t="s">
        <v>75</v>
      </c>
      <c r="B1" s="213"/>
      <c r="C1" s="213"/>
      <c r="D1" s="213"/>
      <c r="E1" s="213"/>
      <c r="F1" s="213"/>
      <c r="G1" s="213"/>
      <c r="H1" s="213"/>
      <c r="I1" s="213"/>
    </row>
    <row r="2" spans="1:9" x14ac:dyDescent="0.25">
      <c r="A2" s="5"/>
      <c r="B2" s="5" t="s">
        <v>16</v>
      </c>
      <c r="C2" s="6"/>
      <c r="D2" s="4"/>
      <c r="E2" s="5"/>
      <c r="F2" s="5"/>
      <c r="G2" s="5"/>
      <c r="H2" s="5"/>
      <c r="I2" s="5"/>
    </row>
    <row r="3" spans="1:9" x14ac:dyDescent="0.25">
      <c r="A3" s="5"/>
      <c r="B3" s="5" t="s">
        <v>17</v>
      </c>
      <c r="C3" s="7"/>
      <c r="D3" s="4"/>
      <c r="E3" s="5"/>
      <c r="F3" s="5"/>
      <c r="G3" s="5"/>
      <c r="H3" s="5"/>
      <c r="I3" s="5"/>
    </row>
    <row r="4" spans="1:9" x14ac:dyDescent="0.25">
      <c r="A4" s="5"/>
      <c r="B4" s="5" t="s">
        <v>18</v>
      </c>
      <c r="C4" s="8"/>
      <c r="D4" s="4"/>
      <c r="E4" s="5"/>
      <c r="F4" s="5"/>
      <c r="G4" s="5"/>
      <c r="H4" s="5"/>
      <c r="I4" s="5"/>
    </row>
    <row r="5" spans="1:9" x14ac:dyDescent="0.25">
      <c r="A5" s="9" t="s">
        <v>19</v>
      </c>
      <c r="B5" s="9" t="s">
        <v>20</v>
      </c>
      <c r="C5" s="9" t="s">
        <v>21</v>
      </c>
      <c r="D5" s="4"/>
      <c r="E5" s="214" t="s">
        <v>22</v>
      </c>
      <c r="F5" s="214"/>
      <c r="G5" s="214"/>
      <c r="H5" s="214"/>
      <c r="I5" s="9"/>
    </row>
    <row r="6" spans="1:9" x14ac:dyDescent="0.25">
      <c r="A6" s="9"/>
      <c r="B6" s="9"/>
      <c r="C6" s="9"/>
      <c r="D6" s="4"/>
      <c r="E6" s="5"/>
      <c r="F6" s="5"/>
      <c r="G6" s="5"/>
      <c r="H6" s="5"/>
      <c r="I6" s="9"/>
    </row>
    <row r="7" spans="1:9" x14ac:dyDescent="0.25">
      <c r="A7" s="9" t="s">
        <v>55</v>
      </c>
      <c r="B7" s="9"/>
      <c r="C7" s="9"/>
      <c r="D7" s="4"/>
      <c r="E7" s="5"/>
      <c r="F7" s="5"/>
      <c r="G7" s="5"/>
      <c r="H7" s="5"/>
      <c r="I7" s="9"/>
    </row>
    <row r="8" spans="1:9" x14ac:dyDescent="0.25">
      <c r="A8" s="9"/>
      <c r="B8" s="9"/>
      <c r="C8" s="9"/>
      <c r="D8" s="4"/>
      <c r="E8" s="5"/>
      <c r="F8" s="5"/>
      <c r="G8" s="5"/>
      <c r="H8" s="5"/>
      <c r="I8" s="9"/>
    </row>
    <row r="9" spans="1:9" x14ac:dyDescent="0.25">
      <c r="A9" t="s">
        <v>44</v>
      </c>
      <c r="B9" s="12">
        <v>0.8</v>
      </c>
      <c r="D9" t="s">
        <v>47</v>
      </c>
    </row>
    <row r="10" spans="1:9" x14ac:dyDescent="0.25">
      <c r="A10" t="s">
        <v>48</v>
      </c>
      <c r="B10" s="13">
        <f>(1-B9)/(2.2*10^6)</f>
        <v>9.0909090909090888E-8</v>
      </c>
      <c r="C10" t="s">
        <v>51</v>
      </c>
      <c r="D10" t="s">
        <v>54</v>
      </c>
    </row>
    <row r="11" spans="1:9" x14ac:dyDescent="0.25">
      <c r="A11" t="s">
        <v>45</v>
      </c>
      <c r="B11" s="12">
        <v>0.85</v>
      </c>
      <c r="D11" t="s">
        <v>47</v>
      </c>
    </row>
    <row r="12" spans="1:9" x14ac:dyDescent="0.25">
      <c r="A12" t="s">
        <v>49</v>
      </c>
      <c r="B12" s="13">
        <f>(1-B11)/(2.2*10^6)</f>
        <v>6.8181818181818186E-8</v>
      </c>
      <c r="C12" t="s">
        <v>51</v>
      </c>
      <c r="D12" t="s">
        <v>53</v>
      </c>
    </row>
    <row r="13" spans="1:9" x14ac:dyDescent="0.25">
      <c r="A13" t="s">
        <v>46</v>
      </c>
      <c r="B13" s="12">
        <v>0.9</v>
      </c>
      <c r="D13" t="s">
        <v>47</v>
      </c>
    </row>
    <row r="14" spans="1:9" x14ac:dyDescent="0.25">
      <c r="A14" t="s">
        <v>50</v>
      </c>
      <c r="B14" s="13">
        <f>(1-B13)/(2.2*10^6)</f>
        <v>4.5454545454545444E-8</v>
      </c>
      <c r="C14" t="s">
        <v>51</v>
      </c>
      <c r="D14" t="s">
        <v>52</v>
      </c>
    </row>
    <row r="16" spans="1:9" x14ac:dyDescent="0.25">
      <c r="A16" t="s">
        <v>56</v>
      </c>
      <c r="B16" s="12">
        <v>0.9</v>
      </c>
      <c r="D16" t="s">
        <v>62</v>
      </c>
    </row>
    <row r="17" spans="1:8" x14ac:dyDescent="0.25">
      <c r="A17" t="s">
        <v>57</v>
      </c>
      <c r="B17" s="12">
        <v>0.93</v>
      </c>
      <c r="D17" t="s">
        <v>59</v>
      </c>
    </row>
    <row r="18" spans="1:8" x14ac:dyDescent="0.25">
      <c r="A18" t="s">
        <v>58</v>
      </c>
      <c r="B18" s="12">
        <v>0.96</v>
      </c>
      <c r="D18" t="s">
        <v>63</v>
      </c>
    </row>
    <row r="19" spans="1:8" x14ac:dyDescent="0.25">
      <c r="B19">
        <f>IF(((1-D_limit_min)/Constants!B12)&lt;Fsw,2,1)</f>
        <v>2</v>
      </c>
      <c r="D19" t="s">
        <v>438</v>
      </c>
    </row>
    <row r="20" spans="1:8" x14ac:dyDescent="0.25">
      <c r="A20" t="s">
        <v>73</v>
      </c>
      <c r="B20" s="1">
        <f>CHOOSE(B19,D_limit_min,(1-Constants!B10*Fsw))</f>
        <v>0.81818181818181823</v>
      </c>
      <c r="D20" t="s">
        <v>74</v>
      </c>
    </row>
    <row r="22" spans="1:8" x14ac:dyDescent="0.25">
      <c r="A22" t="s">
        <v>80</v>
      </c>
      <c r="B22" s="12">
        <f>50*10^-9</f>
        <v>5.0000000000000004E-8</v>
      </c>
      <c r="C22" t="s">
        <v>51</v>
      </c>
      <c r="D22" t="s">
        <v>81</v>
      </c>
    </row>
    <row r="24" spans="1:8" x14ac:dyDescent="0.25">
      <c r="A24" t="s">
        <v>590</v>
      </c>
      <c r="B24" s="12">
        <f>20*10^-9</f>
        <v>2E-8</v>
      </c>
      <c r="C24" t="s">
        <v>51</v>
      </c>
      <c r="D24" t="s">
        <v>589</v>
      </c>
    </row>
    <row r="25" spans="1:8" ht="15.75" x14ac:dyDescent="0.25">
      <c r="A25" s="27" t="s">
        <v>141</v>
      </c>
    </row>
    <row r="26" spans="1:8" x14ac:dyDescent="0.25">
      <c r="A26" t="s">
        <v>127</v>
      </c>
      <c r="B26" s="12">
        <f>30*10^-6</f>
        <v>2.9999999999999997E-5</v>
      </c>
      <c r="C26" t="s">
        <v>11</v>
      </c>
      <c r="D26" t="s">
        <v>128</v>
      </c>
    </row>
    <row r="27" spans="1:8" x14ac:dyDescent="0.25">
      <c r="A27" t="s">
        <v>129</v>
      </c>
      <c r="B27" s="12">
        <v>3000</v>
      </c>
      <c r="C27" s="2" t="s">
        <v>36</v>
      </c>
      <c r="D27" t="s">
        <v>130</v>
      </c>
      <c r="H27" s="31"/>
    </row>
    <row r="28" spans="1:8" x14ac:dyDescent="0.25">
      <c r="A28" t="s">
        <v>491</v>
      </c>
      <c r="B28" s="12">
        <v>4.4999999999999998E-2</v>
      </c>
      <c r="C28" s="2"/>
    </row>
    <row r="29" spans="1:8" x14ac:dyDescent="0.25">
      <c r="C29" s="2"/>
    </row>
    <row r="30" spans="1:8" x14ac:dyDescent="0.25">
      <c r="A30" t="s">
        <v>132</v>
      </c>
      <c r="B30" s="12">
        <v>0.06</v>
      </c>
      <c r="C30" s="2" t="s">
        <v>10</v>
      </c>
      <c r="D30" t="s">
        <v>133</v>
      </c>
    </row>
    <row r="32" spans="1:8" x14ac:dyDescent="0.25">
      <c r="A32" t="s">
        <v>201</v>
      </c>
      <c r="B32" s="12">
        <v>1</v>
      </c>
      <c r="C32" t="s">
        <v>150</v>
      </c>
      <c r="D32" t="s">
        <v>203</v>
      </c>
    </row>
    <row r="33" spans="1:4" x14ac:dyDescent="0.25">
      <c r="A33" t="s">
        <v>205</v>
      </c>
      <c r="B33" s="12">
        <v>10</v>
      </c>
      <c r="C33" t="s">
        <v>150</v>
      </c>
      <c r="D33" t="s">
        <v>206</v>
      </c>
    </row>
    <row r="35" spans="1:4" x14ac:dyDescent="0.25">
      <c r="A35" s="31" t="s">
        <v>225</v>
      </c>
    </row>
    <row r="36" spans="1:4" x14ac:dyDescent="0.25">
      <c r="A36" t="s">
        <v>244</v>
      </c>
      <c r="B36">
        <v>1</v>
      </c>
      <c r="C36" t="s">
        <v>10</v>
      </c>
      <c r="D36" t="s">
        <v>245</v>
      </c>
    </row>
    <row r="37" spans="1:4" x14ac:dyDescent="0.25">
      <c r="A37" t="s">
        <v>228</v>
      </c>
      <c r="B37">
        <f>(1*10^-3)/1</f>
        <v>1E-3</v>
      </c>
      <c r="C37" t="s">
        <v>230</v>
      </c>
      <c r="D37" t="s">
        <v>229</v>
      </c>
    </row>
    <row r="38" spans="1:4" x14ac:dyDescent="0.25">
      <c r="A38" t="s">
        <v>552</v>
      </c>
      <c r="B38">
        <v>20</v>
      </c>
      <c r="C38" t="s">
        <v>150</v>
      </c>
    </row>
    <row r="39" spans="1:4" x14ac:dyDescent="0.25">
      <c r="A39" t="s">
        <v>553</v>
      </c>
      <c r="B39">
        <v>60</v>
      </c>
      <c r="C39" t="s">
        <v>150</v>
      </c>
    </row>
    <row r="40" spans="1:4" x14ac:dyDescent="0.25">
      <c r="A40" t="s">
        <v>554</v>
      </c>
      <c r="B40">
        <v>100000</v>
      </c>
      <c r="C40" t="s">
        <v>469</v>
      </c>
    </row>
    <row r="41" spans="1:4" x14ac:dyDescent="0.25">
      <c r="A41" t="s">
        <v>555</v>
      </c>
      <c r="B41">
        <v>35000</v>
      </c>
      <c r="C41" t="s">
        <v>469</v>
      </c>
    </row>
    <row r="42" spans="1:4" x14ac:dyDescent="0.25">
      <c r="A42" t="s">
        <v>556</v>
      </c>
      <c r="B42">
        <v>75000</v>
      </c>
      <c r="C42" t="s">
        <v>469</v>
      </c>
    </row>
    <row r="43" spans="1:4" x14ac:dyDescent="0.25">
      <c r="A43" t="s">
        <v>557</v>
      </c>
      <c r="B43">
        <v>20000</v>
      </c>
      <c r="C43" t="s">
        <v>469</v>
      </c>
    </row>
    <row r="46" spans="1:4" x14ac:dyDescent="0.25">
      <c r="A46" s="31" t="s">
        <v>277</v>
      </c>
    </row>
    <row r="47" spans="1:4" x14ac:dyDescent="0.25">
      <c r="A47" t="s">
        <v>278</v>
      </c>
      <c r="B47">
        <f>20*10^-6</f>
        <v>1.9999999999999998E-5</v>
      </c>
      <c r="C47" t="s">
        <v>11</v>
      </c>
      <c r="D47" t="s">
        <v>279</v>
      </c>
    </row>
    <row r="49" spans="1:10" x14ac:dyDescent="0.25">
      <c r="A49" s="31" t="s">
        <v>297</v>
      </c>
    </row>
    <row r="50" spans="1:10" x14ac:dyDescent="0.25">
      <c r="A50" t="s">
        <v>298</v>
      </c>
      <c r="B50">
        <v>1.1000000000000001</v>
      </c>
      <c r="C50" t="s">
        <v>10</v>
      </c>
      <c r="D50" t="s">
        <v>301</v>
      </c>
      <c r="J50" s="31"/>
    </row>
    <row r="51" spans="1:10" x14ac:dyDescent="0.25">
      <c r="A51" t="s">
        <v>299</v>
      </c>
      <c r="B51">
        <v>1.075</v>
      </c>
      <c r="C51" t="s">
        <v>10</v>
      </c>
      <c r="D51" t="s">
        <v>300</v>
      </c>
      <c r="J51" s="31"/>
    </row>
    <row r="52" spans="1:10" x14ac:dyDescent="0.25">
      <c r="A52" t="s">
        <v>304</v>
      </c>
      <c r="B52">
        <f>10*10^-6</f>
        <v>9.9999999999999991E-6</v>
      </c>
      <c r="C52" t="s">
        <v>11</v>
      </c>
      <c r="D52" t="s">
        <v>305</v>
      </c>
      <c r="J52" s="31"/>
    </row>
    <row r="54" spans="1:10" x14ac:dyDescent="0.25">
      <c r="A54" s="31" t="s">
        <v>355</v>
      </c>
    </row>
    <row r="55" spans="1:10" x14ac:dyDescent="0.25">
      <c r="A55" t="s">
        <v>356</v>
      </c>
      <c r="B55">
        <v>5</v>
      </c>
      <c r="C55" t="s">
        <v>10</v>
      </c>
      <c r="D55" t="s">
        <v>357</v>
      </c>
    </row>
    <row r="57" spans="1:10" x14ac:dyDescent="0.25">
      <c r="A57" s="31" t="s">
        <v>373</v>
      </c>
    </row>
    <row r="58" spans="1:10" x14ac:dyDescent="0.25">
      <c r="A58" t="s">
        <v>374</v>
      </c>
      <c r="B58">
        <f>3.3*(10^-6)</f>
        <v>3.2999999999999997E-6</v>
      </c>
      <c r="C58" t="s">
        <v>11</v>
      </c>
      <c r="D58" t="s">
        <v>375</v>
      </c>
    </row>
    <row r="60" spans="1:10" x14ac:dyDescent="0.25">
      <c r="A60" t="s">
        <v>409</v>
      </c>
    </row>
    <row r="61" spans="1:10" x14ac:dyDescent="0.25">
      <c r="A61" t="s">
        <v>410</v>
      </c>
      <c r="B61">
        <v>1.5</v>
      </c>
      <c r="C61" t="s">
        <v>10</v>
      </c>
      <c r="D61" t="s">
        <v>411</v>
      </c>
    </row>
    <row r="62" spans="1:10" x14ac:dyDescent="0.25">
      <c r="A62" t="s">
        <v>413</v>
      </c>
      <c r="B62">
        <v>45</v>
      </c>
      <c r="D62" t="s">
        <v>412</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P22" sqref="P22"/>
    </sheetView>
  </sheetViews>
  <sheetFormatPr defaultRowHeight="15" x14ac:dyDescent="0.25"/>
  <cols>
    <col min="3" max="3" width="144.85546875" customWidth="1"/>
  </cols>
  <sheetData>
    <row r="2" spans="2:2" x14ac:dyDescent="0.25">
      <c r="B2" t="str">
        <f>"Eff_vs_IOUT"</f>
        <v>Eff_vs_IOUT</v>
      </c>
    </row>
    <row r="3" spans="2:2" ht="379.7"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
  <sheetViews>
    <sheetView topLeftCell="A4" workbookViewId="0">
      <selection activeCell="B7" sqref="B7"/>
    </sheetView>
  </sheetViews>
  <sheetFormatPr defaultRowHeight="15" x14ac:dyDescent="0.25"/>
  <cols>
    <col min="1" max="1" width="27.28515625" customWidth="1"/>
    <col min="2" max="2" width="77.140625" customWidth="1"/>
  </cols>
  <sheetData>
    <row r="1" spans="1:8" x14ac:dyDescent="0.25">
      <c r="A1" s="111" t="str">
        <f>IF('Design Converter'!H12= "SKIP", "SCH_1", IF('Design Converter'!H12 = "DEM", "SCH_2", IF('Design Converter'!H12 = "FPWM","SCH_3", "")))</f>
        <v>SCH_2</v>
      </c>
      <c r="F1" t="s">
        <v>604</v>
      </c>
      <c r="G1" t="s">
        <v>605</v>
      </c>
      <c r="H1" t="s">
        <v>606</v>
      </c>
    </row>
    <row r="2" spans="1:8" ht="214.9" customHeight="1" x14ac:dyDescent="0.25">
      <c r="B2" t="s">
        <v>603</v>
      </c>
    </row>
    <row r="5" spans="1:8" ht="214.15" customHeight="1" x14ac:dyDescent="0.25"/>
    <row r="6" spans="1:8" ht="15" customHeight="1" x14ac:dyDescent="0.25"/>
    <row r="7" spans="1:8" ht="213.6" customHeight="1" x14ac:dyDescent="0.25"/>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42" r:id="rId4">
          <objectPr defaultSize="0" r:id="rId5">
            <anchor moveWithCells="1">
              <from>
                <xdr:col>1</xdr:col>
                <xdr:colOff>0</xdr:colOff>
                <xdr:row>1</xdr:row>
                <xdr:rowOff>0</xdr:rowOff>
              </from>
              <to>
                <xdr:col>2</xdr:col>
                <xdr:colOff>28575</xdr:colOff>
                <xdr:row>2</xdr:row>
                <xdr:rowOff>0</xdr:rowOff>
              </to>
            </anchor>
          </objectPr>
        </oleObject>
      </mc:Choice>
      <mc:Fallback>
        <oleObject progId="Visio.Drawing.15" shapeId="10242" r:id="rId4"/>
      </mc:Fallback>
    </mc:AlternateContent>
    <mc:AlternateContent xmlns:mc="http://schemas.openxmlformats.org/markup-compatibility/2006">
      <mc:Choice Requires="x14">
        <oleObject progId="Visio.Drawing.15" shapeId="10243" r:id="rId6">
          <objectPr defaultSize="0" r:id="rId7">
            <anchor moveWithCells="1">
              <from>
                <xdr:col>1</xdr:col>
                <xdr:colOff>0</xdr:colOff>
                <xdr:row>4</xdr:row>
                <xdr:rowOff>0</xdr:rowOff>
              </from>
              <to>
                <xdr:col>2</xdr:col>
                <xdr:colOff>28575</xdr:colOff>
                <xdr:row>5</xdr:row>
                <xdr:rowOff>9525</xdr:rowOff>
              </to>
            </anchor>
          </objectPr>
        </oleObject>
      </mc:Choice>
      <mc:Fallback>
        <oleObject progId="Visio.Drawing.15" shapeId="10243" r:id="rId6"/>
      </mc:Fallback>
    </mc:AlternateContent>
    <mc:AlternateContent xmlns:mc="http://schemas.openxmlformats.org/markup-compatibility/2006">
      <mc:Choice Requires="x14">
        <oleObject progId="Visio.Drawing.15" shapeId="10246" r:id="rId8">
          <objectPr defaultSize="0" r:id="rId9">
            <anchor moveWithCells="1">
              <from>
                <xdr:col>1</xdr:col>
                <xdr:colOff>0</xdr:colOff>
                <xdr:row>6</xdr:row>
                <xdr:rowOff>0</xdr:rowOff>
              </from>
              <to>
                <xdr:col>2</xdr:col>
                <xdr:colOff>28575</xdr:colOff>
                <xdr:row>7</xdr:row>
                <xdr:rowOff>9525</xdr:rowOff>
              </to>
            </anchor>
          </objectPr>
        </oleObject>
      </mc:Choice>
      <mc:Fallback>
        <oleObject progId="Visio.Drawing.15" shapeId="10246" r:id="rId8"/>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F5"/>
  <sheetViews>
    <sheetView workbookViewId="0">
      <selection activeCell="F3" sqref="F3"/>
    </sheetView>
  </sheetViews>
  <sheetFormatPr defaultRowHeight="15" x14ac:dyDescent="0.25"/>
  <sheetData>
    <row r="2" spans="1:6" x14ac:dyDescent="0.25">
      <c r="A2" t="s">
        <v>389</v>
      </c>
    </row>
    <row r="3" spans="1:6" x14ac:dyDescent="0.25">
      <c r="B3">
        <f>VIN_min</f>
        <v>10</v>
      </c>
      <c r="F3" t="str">
        <f>"SKIP"</f>
        <v>SKIP</v>
      </c>
    </row>
    <row r="4" spans="1:6" x14ac:dyDescent="0.25">
      <c r="B4">
        <f>VIN_nom</f>
        <v>12</v>
      </c>
      <c r="D4">
        <v>2.5</v>
      </c>
      <c r="F4" t="str">
        <f>"DEM"</f>
        <v>DEM</v>
      </c>
    </row>
    <row r="5" spans="1:6" x14ac:dyDescent="0.25">
      <c r="B5">
        <f>VIN_max</f>
        <v>18</v>
      </c>
      <c r="F5" t="str">
        <f>"FPWM"</f>
        <v>FPWM</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155</vt:i4>
      </vt:variant>
    </vt:vector>
  </HeadingPairs>
  <TitlesOfParts>
    <vt:vector size="164"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DC_rip</vt:lpstr>
      <vt:lpstr>Dc_rip_max</vt:lpstr>
      <vt:lpstr>Dc_VIN_max</vt:lpstr>
      <vt:lpstr>Dc_VIN_min</vt:lpstr>
      <vt:lpstr>Dc_VIN_nom</vt:lpstr>
      <vt:lpstr>DC_VIN_var_DCM</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IIN_33</vt:lpstr>
      <vt:lpstr>IL_avg_VIN_max</vt:lpstr>
      <vt:lpstr>IL_avg_VIN_min</vt:lpstr>
      <vt:lpstr>IL_avg_VIN_nom</vt:lpstr>
      <vt:lpstr>IL_pk</vt:lpstr>
      <vt:lpstr>IL_pk_max</vt:lpstr>
      <vt:lpstr>ILp_VINmax</vt:lpstr>
      <vt:lpstr>ILp_VINmin</vt:lpstr>
      <vt:lpstr>ILp_VINnom</vt:lpstr>
      <vt:lpstr>ILrip</vt:lpstr>
      <vt:lpstr>ILrip_VINmax</vt:lpstr>
      <vt:lpstr>ILrip_VINmin</vt:lpstr>
      <vt:lpstr>ILrip_VINnom</vt:lpstr>
      <vt:lpstr>IOUT</vt:lpstr>
      <vt:lpstr>IOUT_VAR</vt:lpstr>
      <vt:lpstr>Ipk_margin</vt:lpstr>
      <vt:lpstr>Ipk_selected</vt:lpstr>
      <vt:lpstr>IQ</vt:lpstr>
      <vt:lpstr>IRMS_COUT</vt:lpstr>
      <vt:lpstr>Isl</vt:lpstr>
      <vt:lpstr>Iss</vt:lpstr>
      <vt:lpstr>Kd</vt:lpstr>
      <vt:lpstr>Kd_VINmin</vt:lpstr>
      <vt:lpstr>Kex</vt:lpstr>
      <vt:lpstr>Kex_VINmin</vt:lpstr>
      <vt:lpstr>Kfb</vt:lpstr>
      <vt:lpstr>Kfb_high</vt:lpstr>
      <vt:lpstr>Kfb_low</vt:lpstr>
      <vt:lpstr>Km</vt:lpstr>
      <vt:lpstr>Km_VINmin</vt:lpstr>
      <vt:lpstr>Lm</vt:lpstr>
      <vt:lpstr>Lopt_2</vt:lpstr>
      <vt:lpstr>M_L_DCM</vt:lpstr>
      <vt:lpstr>Np</vt:lpstr>
      <vt:lpstr>POUT</vt:lpstr>
      <vt:lpstr>'Design Converter'!Print_Area</vt:lpstr>
      <vt:lpstr>Q</vt:lpstr>
      <vt:lpstr>Q_VINmin</vt:lpstr>
      <vt:lpstr>Qg_tot</vt:lpstr>
      <vt:lpstr>Qg_tot_HS</vt:lpstr>
      <vt:lpstr>Qgd</vt:lpstr>
      <vt:lpstr>Qgs</vt:lpstr>
      <vt:lpstr>Qrr</vt:lpstr>
      <vt:lpstr>R_cs</vt:lpstr>
      <vt:lpstr>R_sl</vt:lpstr>
      <vt:lpstr>RCOMP</vt:lpstr>
      <vt:lpstr>RCOMP_Calc</vt:lpstr>
      <vt:lpstr>Rcomp_calc_CCM</vt:lpstr>
      <vt:lpstr>RCOMP_CALC_DCM</vt:lpstr>
      <vt:lpstr>Rcs_max</vt:lpstr>
      <vt:lpstr>Rcs_wo_sl</vt:lpstr>
      <vt:lpstr>Rdcr</vt:lpstr>
      <vt:lpstr>RDS_on</vt:lpstr>
      <vt:lpstr>RDS_on_HS</vt:lpstr>
      <vt:lpstr>Resr</vt:lpstr>
      <vt:lpstr>RFBB</vt:lpstr>
      <vt:lpstr>RFBB_calc</vt:lpstr>
      <vt:lpstr>RFBT</vt:lpstr>
      <vt:lpstr>Rgate</vt:lpstr>
      <vt:lpstr>Rmax</vt:lpstr>
      <vt:lpstr>Rmax_high</vt:lpstr>
      <vt:lpstr>Rmax_low</vt:lpstr>
      <vt:lpstr>Rmin</vt:lpstr>
      <vt:lpstr>Rmin_high</vt:lpstr>
      <vt:lpstr>Rmin_low</vt:lpstr>
      <vt:lpstr>ROUT</vt:lpstr>
      <vt:lpstr>Rsl_int</vt:lpstr>
      <vt:lpstr>RT</vt:lpstr>
      <vt:lpstr>Ruvlo_bottom_calc</vt:lpstr>
      <vt:lpstr>Ruvlo_top</vt:lpstr>
      <vt:lpstr>Ruvlo_top_calc</vt:lpstr>
      <vt:lpstr>SCH_1</vt:lpstr>
      <vt:lpstr>SCH_2</vt:lpstr>
      <vt:lpstr>SCH_3</vt:lpstr>
      <vt:lpstr>Se_VINmin</vt:lpstr>
      <vt:lpstr>Sn_VINmin</vt:lpstr>
      <vt:lpstr>t_dead</vt:lpstr>
      <vt:lpstr>tf_sw</vt:lpstr>
      <vt:lpstr>tr_sw</vt:lpstr>
      <vt:lpstr>tss</vt:lpstr>
      <vt:lpstr>UV_fall</vt:lpstr>
      <vt:lpstr>UV_I_hyst</vt:lpstr>
      <vt:lpstr>UV_rise</vt:lpstr>
      <vt:lpstr>Vcc</vt:lpstr>
      <vt:lpstr>Vcl</vt:lpstr>
      <vt:lpstr>Vd_rect</vt:lpstr>
      <vt:lpstr>VIN_33</vt:lpstr>
      <vt:lpstr>VIN_max</vt:lpstr>
      <vt:lpstr>VIN_min</vt:lpstr>
      <vt:lpstr>VIN_nom</vt:lpstr>
      <vt:lpstr>VIN_op_max</vt:lpstr>
      <vt:lpstr>VIN_op_min</vt:lpstr>
      <vt:lpstr>VIN_var</vt:lpstr>
      <vt:lpstr>VOUT</vt:lpstr>
      <vt:lpstr>VOUT_range</vt:lpstr>
      <vt:lpstr>Vout_rip_sel</vt:lpstr>
      <vt:lpstr>Vref</vt:lpstr>
      <vt:lpstr>Vsl</vt:lpstr>
      <vt:lpstr>Vth</vt:lpstr>
      <vt:lpstr>VTRK</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Andreana, Aden [Student]</cp:lastModifiedBy>
  <cp:lastPrinted>2018-08-09T07:13:51Z</cp:lastPrinted>
  <dcterms:created xsi:type="dcterms:W3CDTF">2018-06-26T09:13:29Z</dcterms:created>
  <dcterms:modified xsi:type="dcterms:W3CDTF">2024-02-18T01:01:28Z</dcterms:modified>
</cp:coreProperties>
</file>